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11710" tabRatio="942" activeTab="0"/>
  </bookViews>
  <sheets>
    <sheet name="Danh sách lớp " sheetId="1" r:id="rId1"/>
    <sheet name="Học viên- BC nợ học phí" sheetId="2" r:id="rId2"/>
    <sheet name="Thu tiền học phí" sheetId="3" r:id="rId3"/>
    <sheet name="In phiếu thu tiền" sheetId="4" r:id="rId4"/>
    <sheet name="In-Chi" sheetId="5" state="hidden" r:id="rId5"/>
    <sheet name="00000000" sheetId="6" state="veryHidden" r:id="rId6"/>
  </sheets>
  <externalReferences>
    <externalReference r:id="rId9"/>
  </externalReferences>
  <definedNames>
    <definedName name="_Fill" hidden="1">#REF!</definedName>
    <definedName name="_xlnm._FilterDatabase" localSheetId="1" hidden="1">'Học viên- BC nợ học phí'!$B$6:$O$56</definedName>
    <definedName name="add">#REF!</definedName>
    <definedName name="add1">#REF!</definedName>
    <definedName name="BANGCHU">'In phiếu thu tiền'!$IJ$10</definedName>
    <definedName name="camdoc">#REF!</definedName>
    <definedName name="CDPS">#REF!</definedName>
    <definedName name="chungtu">'In phiếu thu tiền'!$T$1</definedName>
    <definedName name="CKF1">#REF!</definedName>
    <definedName name="Code">#REF!</definedName>
    <definedName name="COP">#REF!</definedName>
    <definedName name="CT_NX">#REF!</definedName>
    <definedName name="DC">#REF!</definedName>
    <definedName name="Dch">#REF!</definedName>
    <definedName name="DM_KH">#REF!</definedName>
    <definedName name="DM_TK">#REF!</definedName>
    <definedName name="dmtk">#REF!</definedName>
    <definedName name="DPTC">'In phiếu thu tiền'!$W$8</definedName>
    <definedName name="DSNV">#REF!</definedName>
    <definedName name="KH">#REF!</definedName>
    <definedName name="Ktru">#REF!</definedName>
    <definedName name="MA_CT">'Thu tiền học phí'!$C$9:$C$222</definedName>
    <definedName name="MA_CV">#REF!</definedName>
    <definedName name="MA_N">#REF!</definedName>
    <definedName name="MA_SP">#REF!</definedName>
    <definedName name="MA_TK">#REF!</definedName>
    <definedName name="MA_X">#REF!</definedName>
    <definedName name="maKH">'[1]DMKhachHang'!$B$6:$B$79</definedName>
    <definedName name="MAKH_CO">'Thu tiền học phí'!$G:$G</definedName>
    <definedName name="MAKH_NO">'Thu tiền học phí'!$F:$F</definedName>
    <definedName name="MANV">#REF!</definedName>
    <definedName name="MAVT">#REF!</definedName>
    <definedName name="MAZ">#REF!</definedName>
    <definedName name="MAZ_CO">'Thu tiền học phí'!#REF!</definedName>
    <definedName name="MAZ_NO">'Thu tiền học phí'!#REF!</definedName>
    <definedName name="MS">#REF!</definedName>
    <definedName name="MST">#REF!</definedName>
    <definedName name="name">#REF!</definedName>
    <definedName name="name1">#REF!</definedName>
    <definedName name="ND">#REF!</definedName>
    <definedName name="ND1">#REF!</definedName>
    <definedName name="NX">#REF!</definedName>
    <definedName name="NXT">#REF!</definedName>
    <definedName name="P_NX1">#REF!</definedName>
    <definedName name="P_TC">'Thu tiền học phí'!$C$9:$C$222</definedName>
    <definedName name="PC">#REF!</definedName>
    <definedName name="_xlnm.Print_Area" localSheetId="3">'In phiếu thu tiền'!$A$1:$S$58</definedName>
    <definedName name="_xlnm.Print_Area" localSheetId="4">'In-Chi'!$A$1:$S$54</definedName>
    <definedName name="PS">'Thu tiền học phí'!$C$9:$I$222</definedName>
    <definedName name="PS1">'Thu tiền học phí'!$B$9:$I$222</definedName>
    <definedName name="SDCCK">#REF!</definedName>
    <definedName name="SDCDK">#REF!</definedName>
    <definedName name="SDNCK">#REF!</definedName>
    <definedName name="SDNDK">#REF!</definedName>
    <definedName name="SL">#REF!</definedName>
    <definedName name="SO_TIEN">'Thu tiền học phí'!$H$9:$H$222</definedName>
    <definedName name="SOTIEN">'Thu tiền học phí'!$H:$H</definedName>
    <definedName name="SP">#REF!</definedName>
    <definedName name="tax">#REF!</definedName>
    <definedName name="tax1">#REF!</definedName>
    <definedName name="Tel">#REF!</definedName>
    <definedName name="tel1">#REF!</definedName>
    <definedName name="TEN">#REF!</definedName>
    <definedName name="Ten1">#REF!</definedName>
    <definedName name="TH_CN">#REF!</definedName>
    <definedName name="TH_NL">#REF!</definedName>
    <definedName name="TH_NO">#REF!</definedName>
    <definedName name="TH_Z">#REF!</definedName>
    <definedName name="TK">#REF!</definedName>
    <definedName name="TK_CO">'Thu tiền học phí'!#REF!</definedName>
    <definedName name="TK_NO">'Thu tiền học phí'!#REF!</definedName>
    <definedName name="TKCO">'Thu tiền học phí'!#REF!</definedName>
    <definedName name="TKCP">#REF!</definedName>
    <definedName name="TKCP1">#REF!</definedName>
    <definedName name="TKNO">'Thu tiền học phí'!#REF!</definedName>
    <definedName name="TKPT">#REF!</definedName>
    <definedName name="TKVL">#REF!</definedName>
    <definedName name="Tonghop">#REF!</definedName>
    <definedName name="TT_NL">#REF!</definedName>
    <definedName name="VTKCP">#REF!</definedName>
    <definedName name="VTKCP1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H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luong thang 5-1.400.000 đoàn Ms Bảo Trâm
</t>
        </r>
      </text>
    </comment>
    <comment ref="H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Tiền lễ 345+hoa khai trương 700+ rượu 73
</t>
        </r>
      </text>
    </comment>
    <comment ref="E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Tiền lễ, tiền hoa, rượu khai trương
</t>
        </r>
      </text>
    </comment>
  </commentList>
</comments>
</file>

<file path=xl/sharedStrings.xml><?xml version="1.0" encoding="utf-8"?>
<sst xmlns="http://schemas.openxmlformats.org/spreadsheetml/2006/main" count="364" uniqueCount="185">
  <si>
    <t>(Ban hành theo QĐ số 48/2006/QĐ-BTC</t>
  </si>
  <si>
    <t>ngày 14/09/2006 của Bộ trưởng BTC)</t>
  </si>
  <si>
    <t>VND</t>
  </si>
  <si>
    <t>Ghi chú</t>
  </si>
  <si>
    <t>Kèm theo</t>
  </si>
  <si>
    <t>chứng từ gốc</t>
  </si>
  <si>
    <t xml:space="preserve">Diễn giải </t>
  </si>
  <si>
    <t>Thủ quỹ</t>
  </si>
  <si>
    <t>TỔNG CỘNG</t>
  </si>
  <si>
    <t>Quyển số :</t>
  </si>
  <si>
    <t>Người nộp tiền</t>
  </si>
  <si>
    <t xml:space="preserve"> + Tỷ giá ngoại tệ (vàng, bạc, đá quý) : ………………………………………………………………………………………….</t>
  </si>
  <si>
    <t xml:space="preserve"> + Số tiền quy đổi : …………………………………………………………………………………………………………………..</t>
  </si>
  <si>
    <t>Người nhận tiền</t>
  </si>
  <si>
    <r>
      <t>(</t>
    </r>
    <r>
      <rPr>
        <i/>
        <sz val="11"/>
        <rFont val="Arial"/>
        <family val="2"/>
      </rPr>
      <t>Ký, họ tên</t>
    </r>
    <r>
      <rPr>
        <sz val="11"/>
        <rFont val="Arial"/>
        <family val="2"/>
      </rPr>
      <t>)</t>
    </r>
  </si>
  <si>
    <r>
      <t>(</t>
    </r>
    <r>
      <rPr>
        <i/>
        <sz val="11"/>
        <rFont val="Arial"/>
        <family val="2"/>
      </rPr>
      <t>Ký, họ tên, đóng dấu</t>
    </r>
    <r>
      <rPr>
        <sz val="11"/>
        <rFont val="Arial"/>
        <family val="2"/>
      </rPr>
      <t>)</t>
    </r>
  </si>
  <si>
    <r>
      <t>Đã nhận đủ số tiền (</t>
    </r>
    <r>
      <rPr>
        <i/>
        <sz val="11"/>
        <rFont val="Arial"/>
        <family val="2"/>
      </rPr>
      <t xml:space="preserve">viết bằng chữ) </t>
    </r>
    <r>
      <rPr>
        <sz val="11"/>
        <rFont val="Arial"/>
        <family val="2"/>
      </rPr>
      <t>:…………………………………………………………………………………………………………………………………………………………………………</t>
    </r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</si>
  <si>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</si>
  <si>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Hoàng Xuân Thành</t>
  </si>
  <si>
    <t>Văn phòng Công ty</t>
  </si>
  <si>
    <t>Lê Lan Phương</t>
  </si>
  <si>
    <t>Trịnh T Phương Dinh</t>
  </si>
  <si>
    <t>Điện thoại</t>
  </si>
  <si>
    <t>C030/06</t>
  </si>
  <si>
    <t>Tổng công ty viễn thông quân đội</t>
  </si>
  <si>
    <t>Liên 2</t>
  </si>
  <si>
    <t>PHIẾU CHI</t>
  </si>
  <si>
    <t>PHIẾU THU</t>
  </si>
  <si>
    <t>Viết bằng chữ:</t>
  </si>
  <si>
    <t>đồng</t>
  </si>
  <si>
    <t xml:space="preserve"> + Tỷ giá ngoại tệ (vàng, bạc, đá quý) : …………………………………………………………………………………</t>
  </si>
  <si>
    <t xml:space="preserve"> + Số tiền quy đổi : ………………………………………………………………………………………………………</t>
  </si>
  <si>
    <t>Người lập phiếu</t>
  </si>
  <si>
    <t>Liên 1</t>
  </si>
  <si>
    <t>Stt</t>
  </si>
  <si>
    <t>Số tiền</t>
  </si>
  <si>
    <t>Số :</t>
  </si>
  <si>
    <t>đồng.</t>
  </si>
  <si>
    <t>Số</t>
  </si>
  <si>
    <t>Ngày</t>
  </si>
  <si>
    <t>Nợ</t>
  </si>
  <si>
    <t>Có</t>
  </si>
  <si>
    <t>Giám đốc</t>
  </si>
  <si>
    <t>Tổng cộng</t>
  </si>
  <si>
    <t>Kế toán trưởng</t>
  </si>
  <si>
    <t>Địa chỉ :</t>
  </si>
  <si>
    <t>Địa chỉ</t>
  </si>
  <si>
    <t>123@gmail.com</t>
  </si>
  <si>
    <t>TT</t>
  </si>
  <si>
    <t>Mã học sinh</t>
  </si>
  <si>
    <t>Họ tên</t>
  </si>
  <si>
    <t>Ngày sinh
(dd/mm/yyyy)</t>
  </si>
  <si>
    <t>Họ tên
 phụ huynh</t>
  </si>
  <si>
    <t>Điện thoại 
Phụ huynh</t>
  </si>
  <si>
    <t>Lớp học</t>
  </si>
  <si>
    <t>HS0001</t>
  </si>
  <si>
    <t>HS0002</t>
  </si>
  <si>
    <t>HS0003</t>
  </si>
  <si>
    <t>HS0004</t>
  </si>
  <si>
    <t>HS0005</t>
  </si>
  <si>
    <t>HS0006</t>
  </si>
  <si>
    <t>HS0007</t>
  </si>
  <si>
    <t>HS0017</t>
  </si>
  <si>
    <t>HS0018</t>
  </si>
  <si>
    <t>HS0019</t>
  </si>
  <si>
    <t>HS0020</t>
  </si>
  <si>
    <t>HS0021</t>
  </si>
  <si>
    <t>HS0022</t>
  </si>
  <si>
    <t>HS0023</t>
  </si>
  <si>
    <t>HS0024</t>
  </si>
  <si>
    <t>HS0025</t>
  </si>
  <si>
    <t>HS0026</t>
  </si>
  <si>
    <t>HS0027</t>
  </si>
  <si>
    <t>HS0028</t>
  </si>
  <si>
    <t>HS0029</t>
  </si>
  <si>
    <t>HS0030</t>
  </si>
  <si>
    <t>HS0031</t>
  </si>
  <si>
    <t>HS0032</t>
  </si>
  <si>
    <t>HS0033</t>
  </si>
  <si>
    <t>HS0034</t>
  </si>
  <si>
    <t>HS0035</t>
  </si>
  <si>
    <t>HS0036</t>
  </si>
  <si>
    <t>HS0037</t>
  </si>
  <si>
    <t>HS0038</t>
  </si>
  <si>
    <t>HS0039</t>
  </si>
  <si>
    <t>HS0040</t>
  </si>
  <si>
    <t>HS0041</t>
  </si>
  <si>
    <t>HS0042</t>
  </si>
  <si>
    <t>HS0043</t>
  </si>
  <si>
    <t>HS0044</t>
  </si>
  <si>
    <t>HS0045</t>
  </si>
  <si>
    <t>HS0046</t>
  </si>
  <si>
    <t>HS0047</t>
  </si>
  <si>
    <t>HS0048</t>
  </si>
  <si>
    <t>HS0049</t>
  </si>
  <si>
    <t>HS0050</t>
  </si>
  <si>
    <t>Phạm Hà Linh</t>
  </si>
  <si>
    <t>Phạm Diệu Linh</t>
  </si>
  <si>
    <t>Đỗ Quân Anh</t>
  </si>
  <si>
    <t>Đỗ Thanh Phong</t>
  </si>
  <si>
    <t>Tạ Quang Minh</t>
  </si>
  <si>
    <t>Trương Minh Đức</t>
  </si>
  <si>
    <t>Trần Khánh Chi</t>
  </si>
  <si>
    <t>1122222</t>
  </si>
  <si>
    <t>Hà Nội</t>
  </si>
  <si>
    <t>Ngày khai giảng</t>
  </si>
  <si>
    <t>Tiếng Anh 5</t>
  </si>
  <si>
    <t>Phòng học</t>
  </si>
  <si>
    <t>Hình thức tính phí</t>
  </si>
  <si>
    <t>Theo tháng</t>
  </si>
  <si>
    <t>Tiếng Anh 4</t>
  </si>
  <si>
    <t>Tiếng Anh 3</t>
  </si>
  <si>
    <t>Tiếng Anh 2</t>
  </si>
  <si>
    <t>Tiếng Anh 1</t>
  </si>
  <si>
    <t>Toán 7</t>
  </si>
  <si>
    <t>Toán 8</t>
  </si>
  <si>
    <t>Toán 9</t>
  </si>
  <si>
    <t>Hóa 7</t>
  </si>
  <si>
    <t>Hóa 8</t>
  </si>
  <si>
    <t>Hóa 9</t>
  </si>
  <si>
    <t>Lịch học</t>
  </si>
  <si>
    <t>Thứ 2+5</t>
  </si>
  <si>
    <t>Thứ 3+6</t>
  </si>
  <si>
    <t>Thứ 4+7</t>
  </si>
  <si>
    <t>Phòng 1</t>
  </si>
  <si>
    <t>Phòng 2</t>
  </si>
  <si>
    <t>Phòng 3</t>
  </si>
  <si>
    <t>Phòng 4</t>
  </si>
  <si>
    <t>Ca học</t>
  </si>
  <si>
    <t>Ca 1</t>
  </si>
  <si>
    <t>Ca 2</t>
  </si>
  <si>
    <t>Ca 3</t>
  </si>
  <si>
    <t>Lớp học đăng ký</t>
  </si>
  <si>
    <t>Học phí phải thu</t>
  </si>
  <si>
    <t>Số tháng đăng ký học</t>
  </si>
  <si>
    <t>ĐÃ thu</t>
  </si>
  <si>
    <t>Nợ học phí</t>
  </si>
  <si>
    <t>Phiếu</t>
  </si>
  <si>
    <t>Học viên</t>
  </si>
  <si>
    <t>Mã học viên</t>
  </si>
  <si>
    <t>Tên học viên</t>
  </si>
  <si>
    <t>Phạm Hà Linh Toán 7 nộp học phí</t>
  </si>
  <si>
    <t>Lớp</t>
  </si>
  <si>
    <t>Mã HS</t>
  </si>
  <si>
    <t>Học viên nộp tiền :</t>
  </si>
  <si>
    <t>Điện thoại : 123456</t>
  </si>
  <si>
    <t>Email: 123@gmail.com</t>
  </si>
  <si>
    <t>LỊCH SỬ THU HỌC PHÍ</t>
  </si>
  <si>
    <t>Tổng tiền</t>
  </si>
  <si>
    <t xml:space="preserve">Ngày nhập học
 </t>
  </si>
  <si>
    <t>Học phí/ tháng</t>
  </si>
  <si>
    <t>T002/20</t>
  </si>
  <si>
    <t>T001/20</t>
  </si>
  <si>
    <t>T003/20</t>
  </si>
  <si>
    <t>T004/20</t>
  </si>
  <si>
    <t>T005/20</t>
  </si>
  <si>
    <t>T006/20</t>
  </si>
  <si>
    <t>T007/20</t>
  </si>
  <si>
    <t>T008/20</t>
  </si>
  <si>
    <t>T009/20</t>
  </si>
  <si>
    <t>T010/20</t>
  </si>
  <si>
    <t>T011/20</t>
  </si>
  <si>
    <t xml:space="preserve">Trung tâm tiếng anh Cô </t>
  </si>
  <si>
    <t>BÁO CÁO NỢ HỌC PHÍ</t>
  </si>
  <si>
    <t>Ngày     tháng   năm 2020</t>
  </si>
  <si>
    <t>Phạm Văn Tuấn</t>
  </si>
  <si>
    <t>Hoàng Thị Hoa</t>
  </si>
  <si>
    <t>Nguyễn Phương Thùy</t>
  </si>
  <si>
    <t>Hoàng Thái Hà</t>
  </si>
  <si>
    <t>Vũ Văn Trọng</t>
  </si>
  <si>
    <t>Tạ Thị Nhung</t>
  </si>
  <si>
    <t>Bùi Thu Phương</t>
  </si>
  <si>
    <t>Nguyễn Thị Khuyên</t>
  </si>
  <si>
    <t>Đào Thị Thu Hương</t>
  </si>
  <si>
    <t>Dương Thu Huyền</t>
  </si>
  <si>
    <t>Trần Thị Tâm</t>
  </si>
  <si>
    <t>Nguyễn Thu Hiền</t>
  </si>
  <si>
    <t>Lại Mai Phương</t>
  </si>
  <si>
    <t>Nguyễn Phương Thảo</t>
  </si>
  <si>
    <t>Hoàng Thị Hà</t>
  </si>
  <si>
    <t>Nguyễn Thị Ngọc</t>
  </si>
  <si>
    <t>Long Biên</t>
  </si>
  <si>
    <t>Hai Bà Trưng</t>
  </si>
  <si>
    <t>Hoàn Kiếm</t>
  </si>
  <si>
    <t>Cầu Giấy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</si>
</sst>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\-mm\-yy"/>
    <numFmt numFmtId="179" formatCode="_(* #,##0_);_(* \(#,##0\);_(* &quot;-&quot;??_);_(@_)"/>
    <numFmt numFmtId="180" formatCode="_ * #,##0_)\ _$_ ;_ * \(#,##0\)\ _$_ ;_ * &quot;-&quot;_)\ _$_ ;_ @_ "/>
    <numFmt numFmtId="181" formatCode="###\ ###\ ###\ ###\ ##0"/>
    <numFmt numFmtId="182" formatCode="#,#00;[Red]\-#,#00;_@&quot;-&quot;"/>
    <numFmt numFmtId="183" formatCode="&quot;Ngày  &quot;dd&quot; Tháng &quot;mm&quot; Năm &quot;yyyy"/>
    <numFmt numFmtId="184" formatCode="&quot;Từ ngày &quot;dd"/>
    <numFmt numFmtId="185" formatCode="&quot;đến ngày  &quot;dd&quot; / &quot;mm&quot; / &quot;yyyy"/>
    <numFmt numFmtId="186" formatCode="&quot;đến &quot;dd&quot;/&quot;mm&quot;/&quot;yyyy"/>
    <numFmt numFmtId="187" formatCode="&quot;TP.HCM,ngày  &quot;dd&quot; Tháng &quot;mm&quot; Năm &quot;yyyy"/>
    <numFmt numFmtId="188" formatCode="000"/>
    <numFmt numFmtId="189" formatCode="&quot;Ngày  &quot;dd&quot; tháng &quot;mm&quot; năm &quot;yyyy"/>
    <numFmt numFmtId="190" formatCode="&quot;Ngày&quot;\ dd&quot; tháng&quot;\ mm&quot; năm&quot;\ yyyy"/>
    <numFmt numFmtId="191" formatCode="0;\-0;;@"/>
    <numFmt numFmtId="192" formatCode="&quot;Ngày &quot;dd&quot; tháng &quot;mm&quot; năm &quot;yyyy"/>
    <numFmt numFmtId="193" formatCode="&quot;TP.HCM, ngày &quot;dd&quot; tháng &quot;mm&quot; năm &quot;yyyy"/>
    <numFmt numFmtId="194" formatCode="&quot;TP. HCM, ngày &quot;dd&quot; tháng &quot;mm&quot; năm &quot;yyyy"/>
    <numFmt numFmtId="195" formatCode="&quot;Lập, ngày &quot;dd&quot; tháng &quot;mm&quot; năm &quot;yyyy"/>
    <numFmt numFmtId="196" formatCode="&quot;TP. HCM, ngày  &quot;dd&quot; tháng &quot;mm&quot; năm &quot;yyyy"/>
    <numFmt numFmtId="197" formatCode="&quot;Từ ngày &quot;dd&quot; / &quot;mm"/>
    <numFmt numFmtId="198" formatCode="_(* #,##0.0_);_(* \(#,##0.0\);_(* &quot;-&quot;??_);_(@_)"/>
    <numFmt numFmtId="199" formatCode="#,##0_);[Red]\(#,##0\);"/>
    <numFmt numFmtId="200" formatCode="_([$€-2]* #,##0.00_);_([$€-2]* \(#,##0.00\);_([$€-2]* &quot;-&quot;??_)"/>
    <numFmt numFmtId="201" formatCode="#,##0\ &quot;$&quot;_);[Red]\(#,##0\ &quot;$&quot;\)"/>
    <numFmt numFmtId="202" formatCode="&quot;$&quot;###,0&quot;.&quot;00_);[Red]\(&quot;$&quot;###,0&quot;.&quot;00\)"/>
    <numFmt numFmtId="203" formatCode="_(* #,##0.0000000_);_(* \(#,##0.0000000\);_(* &quot;-&quot;??_);_(@_)"/>
    <numFmt numFmtId="204" formatCode="0.000%"/>
    <numFmt numFmtId="205" formatCode="_(* #,##0.000000_);_(* \(#,##0.000000\);_(* &quot;-&quot;??_);_(@_)"/>
    <numFmt numFmtId="206" formatCode="_(* #,##0.00000_);_(* \(#,##0.00000\);_(* &quot;-&quot;??_);_(@_)"/>
    <numFmt numFmtId="207" formatCode="&quot;Đà Nẵng, ngày  &quot;dd&quot; Tháng &quot;mm&quot; Năm &quot;yyyy"/>
    <numFmt numFmtId="208" formatCode="dd/mm"/>
    <numFmt numFmtId="209" formatCode="&quot;Ngày &quot;dd&quot; Tháng &quot;mm&quot; Năm &quot;yyyy"/>
    <numFmt numFmtId="210" formatCode="[$-809]dd\ mmmm\ yyyy"/>
    <numFmt numFmtId="211" formatCode="0_);\(0\)"/>
    <numFmt numFmtId="212" formatCode="_-* #,##0.00\ _€_-;\-* #,##0.00\ _€_-;_-* &quot;-&quot;??\ _€_-;_-@_-"/>
    <numFmt numFmtId="213" formatCode="dd/mm/yyyy"/>
    <numFmt numFmtId="214" formatCode="mmm\-yyyy"/>
    <numFmt numFmtId="215" formatCode="00"/>
    <numFmt numFmtId="216" formatCode="[$-409]d\-mmm\-yy;@"/>
    <numFmt numFmtId="217" formatCode="[$-409]dddd\,\ mmmm\ dd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91">
    <font>
      <sz val="11"/>
      <name val="VNbook-Antiqua"/>
      <family val="0"/>
    </font>
    <font>
      <sz val="10"/>
      <name val="VNbook-Antiqua"/>
      <family val="0"/>
    </font>
    <font>
      <sz val="11"/>
      <name val="VNI-Times"/>
      <family val="0"/>
    </font>
    <font>
      <sz val="12"/>
      <name val="VNI-Times"/>
      <family val="0"/>
    </font>
    <font>
      <sz val="10"/>
      <name val="VNI-Times"/>
      <family val="0"/>
    </font>
    <font>
      <u val="single"/>
      <sz val="11"/>
      <color indexed="12"/>
      <name val="VNbook-Antiqua"/>
      <family val="0"/>
    </font>
    <font>
      <u val="single"/>
      <sz val="11"/>
      <color indexed="36"/>
      <name val="VNbook-Antiqua"/>
      <family val="0"/>
    </font>
    <font>
      <sz val="10"/>
      <name val="Arial"/>
      <family val="2"/>
    </font>
    <font>
      <sz val="10"/>
      <name val=".Vn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VNbook-Antiqua"/>
      <family val="0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7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sz val="11"/>
      <name val="VNI-Helve-Condense"/>
      <family val="0"/>
    </font>
    <font>
      <sz val="8"/>
      <name val="VNbook-Antiqu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.5"/>
      <name val="Arial"/>
      <family val="2"/>
    </font>
    <font>
      <b/>
      <sz val="10"/>
      <name val="VNI-Times"/>
      <family val="0"/>
    </font>
    <font>
      <b/>
      <u val="single"/>
      <sz val="11"/>
      <color indexed="12"/>
      <name val="VNbook-Antiqua"/>
      <family val="0"/>
    </font>
    <font>
      <b/>
      <i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Inherit"/>
      <family val="0"/>
    </font>
    <font>
      <sz val="8"/>
      <name val="Segoe UI"/>
      <family val="2"/>
    </font>
    <font>
      <sz val="11"/>
      <color indexed="8"/>
      <name val="VNbook-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rgb="FF141414"/>
      <name val="Inherit"/>
      <family val="0"/>
    </font>
    <font>
      <b/>
      <sz val="8"/>
      <name val="VNbook-Antiqu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0" fontId="7" fillId="0" borderId="0">
      <alignment/>
      <protection/>
    </xf>
    <xf numFmtId="182" fontId="3" fillId="0" borderId="0" applyFon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3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84" fillId="30" borderId="0" applyNumberFormat="0" applyBorder="0" applyAlignment="0" applyProtection="0"/>
    <xf numFmtId="181" fontId="3" fillId="0" borderId="0">
      <alignment/>
      <protection locked="0"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14" fontId="1" fillId="0" borderId="0">
      <alignment/>
      <protection/>
    </xf>
    <xf numFmtId="0" fontId="86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8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  <protection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203" fontId="3" fillId="0" borderId="0" applyFont="0" applyFill="0" applyBorder="0" applyAlignment="0" applyProtection="0"/>
    <xf numFmtId="204" fontId="46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47" fillId="0" borderId="0">
      <alignment/>
      <protection/>
    </xf>
    <xf numFmtId="0" fontId="18" fillId="0" borderId="0" applyProtection="0">
      <alignment/>
    </xf>
    <xf numFmtId="16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176" fontId="44" fillId="0" borderId="0" applyFont="0" applyFill="0" applyBorder="0" applyAlignment="0" applyProtection="0"/>
    <xf numFmtId="173" fontId="45" fillId="0" borderId="0" applyFont="0" applyFill="0" applyBorder="0" applyAlignment="0" applyProtection="0"/>
    <xf numFmtId="177" fontId="44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16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2" fillId="3" borderId="10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12" fillId="3" borderId="10" xfId="0" applyNumberFormat="1" applyFont="1" applyFill="1" applyBorder="1" applyAlignment="1">
      <alignment horizontal="center"/>
    </xf>
    <xf numFmtId="179" fontId="23" fillId="0" borderId="0" xfId="78" applyNumberFormat="1" applyFont="1">
      <alignment/>
      <protection/>
    </xf>
    <xf numFmtId="0" fontId="24" fillId="18" borderId="0" xfId="77" applyFont="1" applyFill="1" applyAlignment="1" applyProtection="1">
      <alignment horizontal="center"/>
      <protection hidden="1"/>
    </xf>
    <xf numFmtId="0" fontId="18" fillId="32" borderId="0" xfId="77" applyFont="1" applyFill="1" applyAlignment="1" applyProtection="1">
      <alignment horizontal="center"/>
      <protection hidden="1"/>
    </xf>
    <xf numFmtId="0" fontId="18" fillId="33" borderId="0" xfId="77" applyFont="1" applyFill="1" applyAlignment="1" applyProtection="1">
      <alignment horizontal="center"/>
      <protection hidden="1"/>
    </xf>
    <xf numFmtId="0" fontId="18" fillId="3" borderId="0" xfId="77" applyFont="1" applyFill="1" applyAlignment="1" applyProtection="1">
      <alignment horizontal="center"/>
      <protection hidden="1"/>
    </xf>
    <xf numFmtId="0" fontId="18" fillId="4" borderId="0" xfId="77" applyFont="1" applyFill="1" applyAlignment="1" applyProtection="1">
      <alignment horizontal="center"/>
      <protection hidden="1"/>
    </xf>
    <xf numFmtId="0" fontId="16" fillId="0" borderId="0" xfId="78" applyFont="1">
      <alignment/>
      <protection/>
    </xf>
    <xf numFmtId="0" fontId="16" fillId="18" borderId="0" xfId="77" applyFont="1" applyFill="1" applyProtection="1">
      <alignment/>
      <protection hidden="1"/>
    </xf>
    <xf numFmtId="0" fontId="25" fillId="32" borderId="0" xfId="77" applyFont="1" applyFill="1" applyProtection="1">
      <alignment/>
      <protection hidden="1"/>
    </xf>
    <xf numFmtId="0" fontId="25" fillId="33" borderId="0" xfId="77" applyFont="1" applyFill="1" applyProtection="1">
      <alignment/>
      <protection hidden="1"/>
    </xf>
    <xf numFmtId="0" fontId="25" fillId="3" borderId="0" xfId="77" applyFont="1" applyFill="1" applyProtection="1">
      <alignment/>
      <protection hidden="1"/>
    </xf>
    <xf numFmtId="0" fontId="25" fillId="4" borderId="0" xfId="77" applyFont="1" applyFill="1" applyProtection="1">
      <alignment/>
      <protection hidden="1"/>
    </xf>
    <xf numFmtId="0" fontId="25" fillId="32" borderId="0" xfId="76" applyFont="1" applyFill="1" applyAlignment="1" applyProtection="1">
      <alignment horizontal="center"/>
      <protection hidden="1"/>
    </xf>
    <xf numFmtId="0" fontId="25" fillId="33" borderId="0" xfId="76" applyFont="1" applyFill="1" applyAlignment="1" applyProtection="1">
      <alignment horizontal="center"/>
      <protection hidden="1"/>
    </xf>
    <xf numFmtId="0" fontId="25" fillId="3" borderId="0" xfId="76" applyFont="1" applyFill="1" applyAlignment="1" applyProtection="1">
      <alignment horizontal="center"/>
      <protection hidden="1"/>
    </xf>
    <xf numFmtId="0" fontId="25" fillId="4" borderId="0" xfId="76" applyFont="1" applyFill="1" applyAlignment="1" applyProtection="1">
      <alignment horizontal="center"/>
      <protection hidden="1"/>
    </xf>
    <xf numFmtId="0" fontId="25" fillId="32" borderId="0" xfId="77" applyFont="1" applyFill="1" applyAlignment="1" applyProtection="1">
      <alignment horizontal="center"/>
      <protection hidden="1"/>
    </xf>
    <xf numFmtId="0" fontId="25" fillId="33" borderId="0" xfId="77" applyFont="1" applyFill="1" applyAlignment="1" applyProtection="1">
      <alignment horizontal="center"/>
      <protection hidden="1"/>
    </xf>
    <xf numFmtId="0" fontId="25" fillId="3" borderId="0" xfId="77" applyFont="1" applyFill="1" applyAlignment="1" applyProtection="1">
      <alignment horizontal="center"/>
      <protection hidden="1"/>
    </xf>
    <xf numFmtId="0" fontId="25" fillId="4" borderId="0" xfId="77" applyFont="1" applyFill="1" applyAlignment="1" applyProtection="1">
      <alignment horizontal="center"/>
      <protection hidden="1"/>
    </xf>
    <xf numFmtId="0" fontId="25" fillId="0" borderId="0" xfId="77" applyFont="1" applyProtection="1">
      <alignment/>
      <protection hidden="1"/>
    </xf>
    <xf numFmtId="0" fontId="16" fillId="0" borderId="0" xfId="77" applyFont="1" applyProtection="1">
      <alignment/>
      <protection hidden="1"/>
    </xf>
    <xf numFmtId="179" fontId="7" fillId="0" borderId="0" xfId="45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11" fillId="34" borderId="0" xfId="78" applyNumberFormat="1" applyFont="1" applyFill="1" applyBorder="1" applyAlignment="1">
      <alignment horizontal="center"/>
      <protection/>
    </xf>
    <xf numFmtId="0" fontId="16" fillId="34" borderId="0" xfId="0" applyFont="1" applyFill="1" applyAlignment="1">
      <alignment/>
    </xf>
    <xf numFmtId="10" fontId="13" fillId="34" borderId="0" xfId="78" applyNumberFormat="1" applyFont="1" applyFill="1" applyBorder="1">
      <alignment/>
      <protection/>
    </xf>
    <xf numFmtId="10" fontId="13" fillId="34" borderId="0" xfId="78" applyNumberFormat="1" applyFont="1" applyFill="1" applyBorder="1" applyAlignment="1">
      <alignment horizontal="centerContinuous"/>
      <protection/>
    </xf>
    <xf numFmtId="0" fontId="32" fillId="34" borderId="0" xfId="0" applyFont="1" applyFill="1" applyBorder="1" applyAlignment="1">
      <alignment/>
    </xf>
    <xf numFmtId="10" fontId="13" fillId="34" borderId="0" xfId="0" applyNumberFormat="1" applyFont="1" applyFill="1" applyBorder="1" applyAlignment="1">
      <alignment/>
    </xf>
    <xf numFmtId="37" fontId="13" fillId="34" borderId="0" xfId="78" applyNumberFormat="1" applyFont="1" applyFill="1" applyBorder="1">
      <alignment/>
      <protection/>
    </xf>
    <xf numFmtId="183" fontId="11" fillId="34" borderId="0" xfId="78" applyNumberFormat="1" applyFont="1" applyFill="1" applyBorder="1" applyAlignment="1">
      <alignment horizontal="center"/>
      <protection/>
    </xf>
    <xf numFmtId="183" fontId="14" fillId="34" borderId="0" xfId="78" applyNumberFormat="1" applyFont="1" applyFill="1" applyBorder="1" applyAlignment="1">
      <alignment horizontal="center"/>
      <protection/>
    </xf>
    <xf numFmtId="0" fontId="13" fillId="34" borderId="0" xfId="0" applyFont="1" applyFill="1" applyAlignment="1">
      <alignment horizontal="left"/>
    </xf>
    <xf numFmtId="0" fontId="32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 shrinkToFit="1"/>
    </xf>
    <xf numFmtId="0" fontId="7" fillId="0" borderId="18" xfId="0" applyFont="1" applyFill="1" applyBorder="1" applyAlignment="1">
      <alignment horizontal="center"/>
    </xf>
    <xf numFmtId="38" fontId="7" fillId="0" borderId="18" xfId="45" applyNumberFormat="1" applyFont="1" applyBorder="1" applyAlignment="1">
      <alignment shrinkToFit="1"/>
    </xf>
    <xf numFmtId="3" fontId="7" fillId="0" borderId="18" xfId="0" applyNumberFormat="1" applyFont="1" applyFill="1" applyBorder="1" applyAlignment="1">
      <alignment/>
    </xf>
    <xf numFmtId="14" fontId="7" fillId="0" borderId="18" xfId="0" applyNumberFormat="1" applyFont="1" applyBorder="1" applyAlignment="1">
      <alignment horizontal="center" shrinkToFit="1"/>
    </xf>
    <xf numFmtId="0" fontId="3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0" fillId="0" borderId="18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179" fontId="7" fillId="0" borderId="18" xfId="45" applyNumberFormat="1" applyFont="1" applyFill="1" applyBorder="1" applyAlignment="1" applyProtection="1">
      <alignment/>
      <protection locked="0"/>
    </xf>
    <xf numFmtId="179" fontId="36" fillId="0" borderId="0" xfId="75" applyNumberFormat="1" applyFont="1">
      <alignment/>
      <protection/>
    </xf>
    <xf numFmtId="0" fontId="51" fillId="18" borderId="0" xfId="77" applyFont="1" applyFill="1" applyAlignment="1" applyProtection="1">
      <alignment horizontal="center"/>
      <protection hidden="1"/>
    </xf>
    <xf numFmtId="0" fontId="51" fillId="32" borderId="0" xfId="77" applyFont="1" applyFill="1" applyAlignment="1" applyProtection="1">
      <alignment horizontal="center"/>
      <protection hidden="1"/>
    </xf>
    <xf numFmtId="0" fontId="51" fillId="33" borderId="0" xfId="77" applyFont="1" applyFill="1" applyAlignment="1" applyProtection="1">
      <alignment horizontal="center"/>
      <protection hidden="1"/>
    </xf>
    <xf numFmtId="0" fontId="51" fillId="3" borderId="0" xfId="77" applyFont="1" applyFill="1" applyAlignment="1" applyProtection="1">
      <alignment horizontal="center"/>
      <protection hidden="1"/>
    </xf>
    <xf numFmtId="0" fontId="51" fillId="4" borderId="0" xfId="77" applyFont="1" applyFill="1" applyAlignment="1" applyProtection="1">
      <alignment horizontal="center"/>
      <protection hidden="1"/>
    </xf>
    <xf numFmtId="0" fontId="37" fillId="0" borderId="0" xfId="75" applyFont="1">
      <alignment/>
      <protection/>
    </xf>
    <xf numFmtId="0" fontId="50" fillId="18" borderId="0" xfId="77" applyFont="1" applyFill="1" applyProtection="1">
      <alignment/>
      <protection hidden="1"/>
    </xf>
    <xf numFmtId="0" fontId="50" fillId="32" borderId="0" xfId="77" applyFont="1" applyFill="1" applyProtection="1">
      <alignment/>
      <protection hidden="1"/>
    </xf>
    <xf numFmtId="0" fontId="50" fillId="33" borderId="0" xfId="77" applyFont="1" applyFill="1" applyProtection="1">
      <alignment/>
      <protection hidden="1"/>
    </xf>
    <xf numFmtId="0" fontId="50" fillId="3" borderId="0" xfId="77" applyFont="1" applyFill="1" applyProtection="1">
      <alignment/>
      <protection hidden="1"/>
    </xf>
    <xf numFmtId="0" fontId="50" fillId="4" borderId="0" xfId="77" applyFont="1" applyFill="1" applyProtection="1">
      <alignment/>
      <protection hidden="1"/>
    </xf>
    <xf numFmtId="0" fontId="50" fillId="32" borderId="0" xfId="76" applyFont="1" applyFill="1" applyAlignment="1" applyProtection="1">
      <alignment horizontal="center"/>
      <protection hidden="1"/>
    </xf>
    <xf numFmtId="0" fontId="50" fillId="33" borderId="0" xfId="76" applyFont="1" applyFill="1" applyAlignment="1" applyProtection="1">
      <alignment horizontal="center"/>
      <protection hidden="1"/>
    </xf>
    <xf numFmtId="0" fontId="50" fillId="3" borderId="0" xfId="76" applyFont="1" applyFill="1" applyAlignment="1" applyProtection="1">
      <alignment horizontal="center"/>
      <protection hidden="1"/>
    </xf>
    <xf numFmtId="0" fontId="50" fillId="4" borderId="0" xfId="76" applyFont="1" applyFill="1" applyAlignment="1" applyProtection="1">
      <alignment horizontal="center"/>
      <protection hidden="1"/>
    </xf>
    <xf numFmtId="0" fontId="50" fillId="32" borderId="0" xfId="77" applyFont="1" applyFill="1" applyAlignment="1" applyProtection="1">
      <alignment horizontal="center"/>
      <protection hidden="1"/>
    </xf>
    <xf numFmtId="0" fontId="50" fillId="33" borderId="0" xfId="77" applyFont="1" applyFill="1" applyAlignment="1" applyProtection="1">
      <alignment horizontal="center"/>
      <protection hidden="1"/>
    </xf>
    <xf numFmtId="0" fontId="50" fillId="3" borderId="0" xfId="77" applyFont="1" applyFill="1" applyAlignment="1" applyProtection="1">
      <alignment horizontal="center"/>
      <protection hidden="1"/>
    </xf>
    <xf numFmtId="0" fontId="50" fillId="4" borderId="0" xfId="77" applyFont="1" applyFill="1" applyAlignment="1" applyProtection="1">
      <alignment horizontal="center"/>
      <protection hidden="1"/>
    </xf>
    <xf numFmtId="0" fontId="50" fillId="0" borderId="0" xfId="77" applyFont="1" applyProtection="1">
      <alignment/>
      <protection hidden="1"/>
    </xf>
    <xf numFmtId="0" fontId="34" fillId="0" borderId="0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14" fontId="12" fillId="3" borderId="10" xfId="0" applyNumberFormat="1" applyFont="1" applyFill="1" applyBorder="1" applyAlignment="1">
      <alignment horizontal="center"/>
    </xf>
    <xf numFmtId="179" fontId="12" fillId="3" borderId="10" xfId="45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0" fontId="11" fillId="35" borderId="19" xfId="78" applyNumberFormat="1" applyFont="1" applyFill="1" applyBorder="1" applyAlignment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212" fontId="7" fillId="0" borderId="20" xfId="45" applyNumberFormat="1" applyFont="1" applyFill="1" applyBorder="1" applyAlignment="1">
      <alignment/>
    </xf>
    <xf numFmtId="212" fontId="7" fillId="0" borderId="18" xfId="45" applyNumberFormat="1" applyFont="1" applyFill="1" applyBorder="1" applyAlignment="1">
      <alignment/>
    </xf>
    <xf numFmtId="199" fontId="7" fillId="0" borderId="18" xfId="0" applyNumberFormat="1" applyFont="1" applyBorder="1" applyAlignment="1">
      <alignment wrapText="1" shrinkToFit="1"/>
    </xf>
    <xf numFmtId="49" fontId="7" fillId="0" borderId="21" xfId="0" applyNumberFormat="1" applyFont="1" applyFill="1" applyBorder="1" applyAlignment="1">
      <alignment horizontal="center"/>
    </xf>
    <xf numFmtId="179" fontId="7" fillId="0" borderId="18" xfId="0" applyNumberFormat="1" applyFont="1" applyFill="1" applyBorder="1" applyAlignment="1">
      <alignment horizontal="right"/>
    </xf>
    <xf numFmtId="216" fontId="7" fillId="0" borderId="18" xfId="0" applyNumberFormat="1" applyFont="1" applyFill="1" applyBorder="1" applyAlignment="1">
      <alignment horizontal="center" shrinkToFit="1"/>
    </xf>
    <xf numFmtId="0" fontId="29" fillId="0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right"/>
    </xf>
    <xf numFmtId="0" fontId="7" fillId="32" borderId="18" xfId="0" applyFont="1" applyFill="1" applyBorder="1" applyAlignment="1">
      <alignment horizontal="right"/>
    </xf>
    <xf numFmtId="49" fontId="12" fillId="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8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/>
    </xf>
    <xf numFmtId="183" fontId="28" fillId="0" borderId="0" xfId="0" applyNumberFormat="1" applyFont="1" applyFill="1" applyBorder="1" applyAlignment="1">
      <alignment/>
    </xf>
    <xf numFmtId="38" fontId="7" fillId="0" borderId="22" xfId="45" applyNumberFormat="1" applyFont="1" applyBorder="1" applyAlignment="1">
      <alignment shrinkToFit="1"/>
    </xf>
    <xf numFmtId="38" fontId="7" fillId="0" borderId="23" xfId="45" applyNumberFormat="1" applyFont="1" applyBorder="1" applyAlignment="1">
      <alignment shrinkToFit="1"/>
    </xf>
    <xf numFmtId="38" fontId="7" fillId="0" borderId="20" xfId="45" applyNumberFormat="1" applyFont="1" applyBorder="1" applyAlignment="1">
      <alignment shrinkToFit="1"/>
    </xf>
    <xf numFmtId="38" fontId="7" fillId="0" borderId="24" xfId="45" applyNumberFormat="1" applyFont="1" applyBorder="1" applyAlignment="1">
      <alignment shrinkToFit="1"/>
    </xf>
    <xf numFmtId="169" fontId="37" fillId="0" borderId="0" xfId="74" applyNumberFormat="1" applyFont="1">
      <alignment/>
      <protection/>
    </xf>
    <xf numFmtId="169" fontId="4" fillId="0" borderId="0" xfId="74" applyNumberFormat="1" applyFont="1" applyAlignment="1">
      <alignment horizontal="left"/>
      <protection/>
    </xf>
    <xf numFmtId="169" fontId="4" fillId="0" borderId="0" xfId="74" applyNumberFormat="1" applyFont="1">
      <alignment/>
      <protection/>
    </xf>
    <xf numFmtId="169" fontId="53" fillId="0" borderId="0" xfId="74" applyNumberFormat="1" applyFont="1" applyAlignment="1">
      <alignment horizontal="center"/>
      <protection/>
    </xf>
    <xf numFmtId="169" fontId="4" fillId="0" borderId="18" xfId="74" applyNumberFormat="1" applyFont="1" applyBorder="1">
      <alignment/>
      <protection/>
    </xf>
    <xf numFmtId="169" fontId="4" fillId="0" borderId="18" xfId="74" applyNumberFormat="1" applyFont="1" applyBorder="1" applyAlignment="1">
      <alignment horizontal="left"/>
      <protection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 vertical="center"/>
      <protection/>
    </xf>
    <xf numFmtId="49" fontId="7" fillId="3" borderId="10" xfId="0" applyNumberFormat="1" applyFont="1" applyFill="1" applyBorder="1" applyAlignment="1">
      <alignment horizontal="center"/>
    </xf>
    <xf numFmtId="14" fontId="37" fillId="0" borderId="0" xfId="74" applyNumberFormat="1" applyFont="1">
      <alignment/>
      <protection/>
    </xf>
    <xf numFmtId="14" fontId="4" fillId="0" borderId="0" xfId="74" applyNumberFormat="1" applyFont="1">
      <alignment/>
      <protection/>
    </xf>
    <xf numFmtId="179" fontId="50" fillId="0" borderId="0" xfId="45" applyNumberFormat="1" applyFont="1" applyAlignment="1">
      <alignment/>
    </xf>
    <xf numFmtId="14" fontId="50" fillId="0" borderId="0" xfId="45" applyNumberFormat="1" applyFont="1" applyAlignment="1">
      <alignment/>
    </xf>
    <xf numFmtId="2" fontId="37" fillId="0" borderId="0" xfId="74" applyNumberFormat="1" applyFont="1">
      <alignment/>
      <protection/>
    </xf>
    <xf numFmtId="2" fontId="4" fillId="0" borderId="0" xfId="74" applyNumberFormat="1" applyFont="1">
      <alignment/>
      <protection/>
    </xf>
    <xf numFmtId="0" fontId="88" fillId="0" borderId="0" xfId="0" applyFont="1" applyFill="1" applyBorder="1" applyAlignment="1">
      <alignment/>
    </xf>
    <xf numFmtId="179" fontId="50" fillId="0" borderId="18" xfId="45" applyNumberFormat="1" applyFont="1" applyBorder="1" applyAlignment="1">
      <alignment/>
    </xf>
    <xf numFmtId="14" fontId="50" fillId="0" borderId="18" xfId="45" applyNumberFormat="1" applyFont="1" applyBorder="1" applyAlignment="1">
      <alignment/>
    </xf>
    <xf numFmtId="0" fontId="50" fillId="0" borderId="26" xfId="0" applyFont="1" applyBorder="1" applyAlignment="1">
      <alignment/>
    </xf>
    <xf numFmtId="179" fontId="50" fillId="0" borderId="27" xfId="45" applyNumberFormat="1" applyFont="1" applyBorder="1" applyAlignment="1">
      <alignment/>
    </xf>
    <xf numFmtId="14" fontId="50" fillId="0" borderId="27" xfId="45" applyNumberFormat="1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1" fillId="0" borderId="29" xfId="0" applyFont="1" applyBorder="1" applyAlignment="1">
      <alignment/>
    </xf>
    <xf numFmtId="179" fontId="51" fillId="0" borderId="30" xfId="45" applyNumberFormat="1" applyFont="1" applyBorder="1" applyAlignment="1">
      <alignment/>
    </xf>
    <xf numFmtId="14" fontId="51" fillId="0" borderId="30" xfId="45" applyNumberFormat="1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14" fontId="7" fillId="0" borderId="32" xfId="0" applyNumberFormat="1" applyFont="1" applyFill="1" applyBorder="1" applyAlignment="1">
      <alignment horizontal="center"/>
    </xf>
    <xf numFmtId="14" fontId="12" fillId="0" borderId="3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" fontId="12" fillId="36" borderId="25" xfId="0" applyNumberFormat="1" applyFont="1" applyFill="1" applyBorder="1" applyAlignment="1">
      <alignment horizontal="center"/>
    </xf>
    <xf numFmtId="179" fontId="12" fillId="36" borderId="25" xfId="45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14" fontId="7" fillId="0" borderId="18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wrapText="1" shrinkToFit="1"/>
    </xf>
    <xf numFmtId="14" fontId="4" fillId="0" borderId="18" xfId="74" applyNumberFormat="1" applyFont="1" applyBorder="1" applyAlignment="1">
      <alignment horizontal="center"/>
      <protection/>
    </xf>
    <xf numFmtId="169" fontId="4" fillId="0" borderId="18" xfId="74" applyNumberFormat="1" applyFont="1" applyBorder="1" applyAlignment="1">
      <alignment horizontal="center"/>
      <protection/>
    </xf>
    <xf numFmtId="2" fontId="4" fillId="0" borderId="18" xfId="74" applyNumberFormat="1" applyFont="1" applyBorder="1" applyAlignment="1">
      <alignment horizontal="center"/>
      <protection/>
    </xf>
    <xf numFmtId="169" fontId="37" fillId="0" borderId="33" xfId="74" applyNumberFormat="1" applyFont="1" applyBorder="1">
      <alignment/>
      <protection/>
    </xf>
    <xf numFmtId="14" fontId="4" fillId="0" borderId="18" xfId="74" applyNumberFormat="1" applyFont="1" applyBorder="1">
      <alignment/>
      <protection/>
    </xf>
    <xf numFmtId="2" fontId="4" fillId="0" borderId="18" xfId="74" applyNumberFormat="1" applyFont="1" applyBorder="1">
      <alignment/>
      <protection/>
    </xf>
    <xf numFmtId="169" fontId="37" fillId="0" borderId="34" xfId="74" applyNumberFormat="1" applyFont="1" applyBorder="1">
      <alignment/>
      <protection/>
    </xf>
    <xf numFmtId="169" fontId="4" fillId="0" borderId="27" xfId="74" applyNumberFormat="1" applyFont="1" applyBorder="1" applyAlignment="1">
      <alignment horizontal="left"/>
      <protection/>
    </xf>
    <xf numFmtId="169" fontId="4" fillId="0" borderId="27" xfId="74" applyNumberFormat="1" applyFont="1" applyBorder="1">
      <alignment/>
      <protection/>
    </xf>
    <xf numFmtId="14" fontId="4" fillId="0" borderId="27" xfId="74" applyNumberFormat="1" applyFont="1" applyBorder="1">
      <alignment/>
      <protection/>
    </xf>
    <xf numFmtId="2" fontId="4" fillId="0" borderId="27" xfId="74" applyNumberFormat="1" applyFont="1" applyBorder="1">
      <alignment/>
      <protection/>
    </xf>
    <xf numFmtId="169" fontId="4" fillId="0" borderId="23" xfId="74" applyNumberFormat="1" applyFont="1" applyBorder="1" applyAlignment="1">
      <alignment horizontal="left"/>
      <protection/>
    </xf>
    <xf numFmtId="14" fontId="4" fillId="0" borderId="23" xfId="74" applyNumberFormat="1" applyFont="1" applyBorder="1" applyAlignment="1">
      <alignment horizontal="center"/>
      <protection/>
    </xf>
    <xf numFmtId="169" fontId="4" fillId="0" borderId="23" xfId="74" applyNumberFormat="1" applyFont="1" applyBorder="1" applyAlignment="1">
      <alignment horizontal="center"/>
      <protection/>
    </xf>
    <xf numFmtId="2" fontId="4" fillId="0" borderId="23" xfId="74" applyNumberFormat="1" applyFont="1" applyBorder="1" applyAlignment="1">
      <alignment horizontal="center"/>
      <protection/>
    </xf>
    <xf numFmtId="169" fontId="37" fillId="0" borderId="23" xfId="74" applyNumberFormat="1" applyFont="1" applyBorder="1" applyAlignment="1">
      <alignment horizontal="center"/>
      <protection/>
    </xf>
    <xf numFmtId="169" fontId="37" fillId="0" borderId="18" xfId="74" applyNumberFormat="1" applyFont="1" applyBorder="1" applyAlignment="1">
      <alignment horizontal="center"/>
      <protection/>
    </xf>
    <xf numFmtId="169" fontId="37" fillId="0" borderId="27" xfId="74" applyNumberFormat="1" applyFont="1" applyBorder="1" applyAlignment="1">
      <alignment horizontal="center"/>
      <protection/>
    </xf>
    <xf numFmtId="169" fontId="37" fillId="0" borderId="35" xfId="74" applyNumberFormat="1" applyFont="1" applyBorder="1" applyAlignment="1">
      <alignment horizontal="center"/>
      <protection/>
    </xf>
    <xf numFmtId="169" fontId="4" fillId="0" borderId="23" xfId="74" applyNumberFormat="1" applyFont="1" applyBorder="1" applyAlignment="1" quotePrefix="1">
      <alignment horizontal="center"/>
      <protection/>
    </xf>
    <xf numFmtId="169" fontId="4" fillId="0" borderId="36" xfId="74" applyNumberFormat="1" applyFont="1" applyBorder="1" applyAlignment="1">
      <alignment horizontal="center"/>
      <protection/>
    </xf>
    <xf numFmtId="169" fontId="37" fillId="0" borderId="33" xfId="74" applyNumberFormat="1" applyFont="1" applyBorder="1" applyAlignment="1">
      <alignment horizontal="center"/>
      <protection/>
    </xf>
    <xf numFmtId="169" fontId="4" fillId="0" borderId="27" xfId="74" applyNumberFormat="1" applyFont="1" applyBorder="1" applyAlignment="1">
      <alignment horizontal="center"/>
      <protection/>
    </xf>
    <xf numFmtId="169" fontId="53" fillId="36" borderId="37" xfId="74" applyNumberFormat="1" applyFont="1" applyFill="1" applyBorder="1">
      <alignment/>
      <protection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179" fontId="50" fillId="0" borderId="39" xfId="45" applyNumberFormat="1" applyFont="1" applyBorder="1" applyAlignment="1">
      <alignment/>
    </xf>
    <xf numFmtId="14" fontId="50" fillId="0" borderId="39" xfId="45" applyNumberFormat="1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169" fontId="36" fillId="17" borderId="30" xfId="74" applyNumberFormat="1" applyFont="1" applyFill="1" applyBorder="1" applyAlignment="1">
      <alignment horizontal="center" vertical="center" wrapText="1"/>
      <protection/>
    </xf>
    <xf numFmtId="169" fontId="4" fillId="13" borderId="23" xfId="74" applyNumberFormat="1" applyFont="1" applyFill="1" applyBorder="1" applyAlignment="1">
      <alignment horizontal="center"/>
      <protection/>
    </xf>
    <xf numFmtId="169" fontId="4" fillId="13" borderId="18" xfId="74" applyNumberFormat="1" applyFont="1" applyFill="1" applyBorder="1" applyAlignment="1">
      <alignment horizontal="center"/>
      <protection/>
    </xf>
    <xf numFmtId="169" fontId="4" fillId="12" borderId="23" xfId="74" applyNumberFormat="1" applyFont="1" applyFill="1" applyBorder="1" applyAlignment="1">
      <alignment horizontal="center"/>
      <protection/>
    </xf>
    <xf numFmtId="169" fontId="4" fillId="36" borderId="36" xfId="74" applyNumberFormat="1" applyFont="1" applyFill="1" applyBorder="1" applyAlignment="1">
      <alignment horizontal="center"/>
      <protection/>
    </xf>
    <xf numFmtId="169" fontId="36" fillId="17" borderId="29" xfId="74" applyNumberFormat="1" applyFont="1" applyFill="1" applyBorder="1" applyAlignment="1">
      <alignment horizontal="center" vertical="center" wrapText="1"/>
      <protection/>
    </xf>
    <xf numFmtId="14" fontId="36" fillId="17" borderId="30" xfId="74" applyNumberFormat="1" applyFont="1" applyFill="1" applyBorder="1" applyAlignment="1">
      <alignment horizontal="center" vertical="center" wrapText="1"/>
      <protection/>
    </xf>
    <xf numFmtId="2" fontId="36" fillId="17" borderId="30" xfId="7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9" fontId="7" fillId="0" borderId="0" xfId="45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9" fontId="36" fillId="0" borderId="0" xfId="74" applyNumberFormat="1" applyFont="1" applyAlignment="1">
      <alignment horizontal="left"/>
      <protection/>
    </xf>
    <xf numFmtId="169" fontId="54" fillId="0" borderId="0" xfId="64" applyNumberFormat="1" applyFont="1" applyAlignment="1" applyProtection="1">
      <alignment horizontal="left"/>
      <protection/>
    </xf>
    <xf numFmtId="0" fontId="51" fillId="0" borderId="0" xfId="0" applyFont="1" applyAlignment="1">
      <alignment/>
    </xf>
    <xf numFmtId="0" fontId="50" fillId="0" borderId="42" xfId="0" applyFont="1" applyBorder="1" applyAlignment="1">
      <alignment/>
    </xf>
    <xf numFmtId="169" fontId="53" fillId="36" borderId="37" xfId="74" applyNumberFormat="1" applyFont="1" applyFill="1" applyBorder="1" applyAlignment="1">
      <alignment horizontal="center"/>
      <protection/>
    </xf>
    <xf numFmtId="169" fontId="36" fillId="0" borderId="0" xfId="74" applyNumberFormat="1" applyFont="1" applyAlignment="1">
      <alignment horizontal="left"/>
      <protection/>
    </xf>
    <xf numFmtId="169" fontId="53" fillId="0" borderId="0" xfId="74" applyNumberFormat="1" applyFont="1" applyAlignment="1">
      <alignment horizontal="left"/>
      <protection/>
    </xf>
    <xf numFmtId="0" fontId="89" fillId="0" borderId="0" xfId="0" applyFont="1" applyAlignment="1">
      <alignment horizontal="center" vertical="center" readingOrder="1"/>
    </xf>
    <xf numFmtId="169" fontId="55" fillId="0" borderId="0" xfId="74" applyNumberFormat="1" applyFont="1" applyAlignment="1">
      <alignment horizontal="center"/>
      <protection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87" fontId="29" fillId="0" borderId="0" xfId="0" applyNumberFormat="1" applyFont="1" applyFill="1" applyBorder="1" applyAlignment="1">
      <alignment horizontal="center"/>
    </xf>
    <xf numFmtId="187" fontId="29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5" fillId="0" borderId="0" xfId="45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9" fontId="7" fillId="0" borderId="0" xfId="45" applyNumberFormat="1" applyFont="1" applyFill="1" applyBorder="1" applyAlignment="1">
      <alignment/>
    </xf>
    <xf numFmtId="179" fontId="7" fillId="0" borderId="11" xfId="45" applyNumberFormat="1" applyFont="1" applyFill="1" applyBorder="1" applyAlignment="1">
      <alignment/>
    </xf>
    <xf numFmtId="179" fontId="7" fillId="0" borderId="0" xfId="45" applyNumberFormat="1" applyFont="1" applyFill="1" applyBorder="1" applyAlignment="1">
      <alignment horizontal="left"/>
    </xf>
    <xf numFmtId="179" fontId="7" fillId="0" borderId="11" xfId="45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15" fillId="34" borderId="0" xfId="0" applyNumberFormat="1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90" fontId="28" fillId="0" borderId="0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3" fontId="28" fillId="0" borderId="0" xfId="0" applyNumberFormat="1" applyFont="1" applyFill="1" applyBorder="1" applyAlignment="1">
      <alignment horizontal="center"/>
    </xf>
    <xf numFmtId="183" fontId="28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89" fontId="28" fillId="0" borderId="0" xfId="0" applyNumberFormat="1" applyFont="1" applyFill="1" applyBorder="1" applyAlignment="1">
      <alignment horizontal="center"/>
    </xf>
    <xf numFmtId="189" fontId="28" fillId="0" borderId="11" xfId="0" applyNumberFormat="1" applyFont="1" applyFill="1" applyBorder="1" applyAlignment="1">
      <alignment horizontal="center"/>
    </xf>
  </cellXfs>
  <cellStyles count="92">
    <cellStyle name="Normal" xfId="0"/>
    <cellStyle name="# ##0" xfId="15"/>
    <cellStyle name="??_kc-elec system check list" xfId="16"/>
    <cellStyle name="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te" xfId="51"/>
    <cellStyle name="ddmmyy" xfId="52"/>
    <cellStyle name="Euro" xfId="53"/>
    <cellStyle name="Explanatory Text" xfId="54"/>
    <cellStyle name="Fixed" xfId="55"/>
    <cellStyle name="Followed Hyperlink" xfId="56"/>
    <cellStyle name="Good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Millares [0]_Well Timing" xfId="67"/>
    <cellStyle name="Millares_Well Timing" xfId="68"/>
    <cellStyle name="Moneda [0]_Well Timing" xfId="69"/>
    <cellStyle name="Moneda_Well Timing" xfId="70"/>
    <cellStyle name="n" xfId="71"/>
    <cellStyle name="Neutral" xfId="72"/>
    <cellStyle name="Normal VN" xfId="73"/>
    <cellStyle name="Normal_CDPS2001" xfId="74"/>
    <cellStyle name="Normal_ChiTietNM0304" xfId="75"/>
    <cellStyle name="Normal_Dichso" xfId="76"/>
    <cellStyle name="Normal_DocSoUnicode" xfId="77"/>
    <cellStyle name="Normal_NhatKy0403" xfId="78"/>
    <cellStyle name="Note" xfId="79"/>
    <cellStyle name="Output" xfId="80"/>
    <cellStyle name="Percent" xfId="81"/>
    <cellStyle name="Style Date" xfId="82"/>
    <cellStyle name="Title" xfId="83"/>
    <cellStyle name="Total" xfId="84"/>
    <cellStyle name="Warning Text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一般_99Q3647-ALL-CAS2" xfId="100"/>
    <cellStyle name="千分位[0]_Book1" xfId="101"/>
    <cellStyle name="千分位_99Q3647-ALL-CAS2" xfId="102"/>
    <cellStyle name="貨幣 [0]_Book1" xfId="103"/>
    <cellStyle name="貨幣[0]_BRE" xfId="104"/>
    <cellStyle name="貨幣_Book1" xfId="10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742950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0"/>
          <a:ext cx="2724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1857375</xdr:colOff>
      <xdr:row>0</xdr:row>
      <xdr:rowOff>0</xdr:rowOff>
    </xdr:from>
    <xdr:to>
      <xdr:col>8</xdr:col>
      <xdr:colOff>1104900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</xdr:row>
      <xdr:rowOff>38100</xdr:rowOff>
    </xdr:from>
    <xdr:to>
      <xdr:col>20</xdr:col>
      <xdr:colOff>0</xdr:colOff>
      <xdr:row>7</xdr:row>
      <xdr:rowOff>104775</xdr:rowOff>
    </xdr:to>
    <xdr:sp>
      <xdr:nvSpPr>
        <xdr:cNvPr id="1" name="AutoShape 70"/>
        <xdr:cNvSpPr>
          <a:spLocks/>
        </xdr:cNvSpPr>
      </xdr:nvSpPr>
      <xdr:spPr>
        <a:xfrm>
          <a:off x="8743950" y="581025"/>
          <a:ext cx="790575" cy="781050"/>
        </a:xfrm>
        <a:prstGeom prst="wedgeEllipseCallout">
          <a:avLst>
            <a:gd name="adj1" fmla="val -26259"/>
            <a:gd name="adj2" fmla="val -97370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Nbook-Antiqua"/>
              <a:ea typeface="VNbook-Antiqua"/>
              <a:cs typeface="VNbook-Antiqua"/>
            </a:rPr>
            <a:t>Chọn phiếu để in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247650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05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00.312\day&amp;hoc\BANHANG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KhachHang"/>
      <sheetName val="GHISO"/>
      <sheetName val="PGH"/>
      <sheetName val="xuat&gt;10"/>
      <sheetName val="TongHopNX"/>
      <sheetName val="congno"/>
      <sheetName val="TheKho"/>
      <sheetName val="INNHAP"/>
    </sheetNames>
    <sheetDataSet>
      <sheetData sheetId="0">
        <row r="6">
          <cell r="B6" t="str">
            <v>CT TS</v>
          </cell>
        </row>
        <row r="7">
          <cell r="B7" t="str">
            <v>CN TS</v>
          </cell>
        </row>
        <row r="8">
          <cell r="B8" t="str">
            <v>CH HN-H</v>
          </cell>
        </row>
        <row r="9">
          <cell r="B9" t="str">
            <v>CH DX-H</v>
          </cell>
        </row>
        <row r="10">
          <cell r="B10" t="str">
            <v>HIEP PHU</v>
          </cell>
        </row>
        <row r="11">
          <cell r="B11" t="str">
            <v>THO HANG</v>
          </cell>
        </row>
        <row r="12">
          <cell r="B12" t="str">
            <v>HAI SINH</v>
          </cell>
        </row>
        <row r="13">
          <cell r="B13" t="str">
            <v>CH ANH-DN</v>
          </cell>
        </row>
        <row r="14">
          <cell r="B14" t="str">
            <v>TY SON</v>
          </cell>
        </row>
        <row r="15">
          <cell r="B15" t="str">
            <v>CH HS-H</v>
          </cell>
        </row>
        <row r="16">
          <cell r="B16" t="str">
            <v>LAM VINH</v>
          </cell>
        </row>
        <row r="17">
          <cell r="B17" t="str">
            <v>DUY THIEN</v>
          </cell>
        </row>
        <row r="18">
          <cell r="B18" t="str">
            <v>KIM THUAN</v>
          </cell>
        </row>
        <row r="19">
          <cell r="B19" t="str">
            <v>GIAU NGA</v>
          </cell>
        </row>
        <row r="20">
          <cell r="B20" t="str">
            <v>QUY THANH</v>
          </cell>
        </row>
        <row r="21">
          <cell r="B21" t="str">
            <v>TAN MY</v>
          </cell>
        </row>
        <row r="22">
          <cell r="B22" t="str">
            <v>ANH AN</v>
          </cell>
        </row>
        <row r="23">
          <cell r="B23" t="str">
            <v>MAI PHUONG</v>
          </cell>
        </row>
        <row r="24">
          <cell r="B24" t="str">
            <v>ANH TRON</v>
          </cell>
        </row>
        <row r="25">
          <cell r="B25" t="str">
            <v>QUANG PHU</v>
          </cell>
        </row>
        <row r="26">
          <cell r="B26" t="str">
            <v>MINH QUAN</v>
          </cell>
        </row>
        <row r="27">
          <cell r="B27" t="str">
            <v>HOA MAY</v>
          </cell>
        </row>
        <row r="28">
          <cell r="B28" t="str">
            <v>LIEN CUOC</v>
          </cell>
        </row>
        <row r="29">
          <cell r="B29" t="str">
            <v>THAO</v>
          </cell>
        </row>
        <row r="30">
          <cell r="B30" t="str">
            <v>BAO NGAN</v>
          </cell>
        </row>
        <row r="31">
          <cell r="B31" t="str">
            <v>A TRUNG</v>
          </cell>
        </row>
        <row r="32">
          <cell r="B32" t="str">
            <v>PHU SI</v>
          </cell>
        </row>
        <row r="33">
          <cell r="B33" t="str">
            <v>TUAN LOC</v>
          </cell>
        </row>
        <row r="34">
          <cell r="B34" t="str">
            <v>BAN LE</v>
          </cell>
        </row>
        <row r="35">
          <cell r="B35" t="str">
            <v>CHI NET</v>
          </cell>
        </row>
        <row r="36">
          <cell r="B36" t="str">
            <v>THANH OANH</v>
          </cell>
        </row>
        <row r="37">
          <cell r="B37" t="str">
            <v>VAN HOA</v>
          </cell>
        </row>
        <row r="38">
          <cell r="B38" t="str">
            <v>TRUNG HIEU</v>
          </cell>
        </row>
        <row r="39">
          <cell r="B39" t="str">
            <v>MINH THANH</v>
          </cell>
        </row>
        <row r="40">
          <cell r="B40" t="str">
            <v>HUYNH NHI</v>
          </cell>
        </row>
        <row r="41">
          <cell r="B41" t="str">
            <v>ANH QUY</v>
          </cell>
        </row>
        <row r="42">
          <cell r="B42" t="str">
            <v>ANH THÔNG</v>
          </cell>
        </row>
        <row r="43">
          <cell r="B43" t="str">
            <v>FH</v>
          </cell>
        </row>
        <row r="44">
          <cell r="B44" t="str">
            <v>PHUONG TAM</v>
          </cell>
        </row>
        <row r="45">
          <cell r="B45" t="str">
            <v>CHI HUE</v>
          </cell>
        </row>
        <row r="46">
          <cell r="B46" t="str">
            <v>CU LOI</v>
          </cell>
        </row>
        <row r="47">
          <cell r="B47" t="str">
            <v>CHI NAM</v>
          </cell>
        </row>
        <row r="48">
          <cell r="B48" t="str">
            <v>AN KHANG</v>
          </cell>
        </row>
        <row r="49">
          <cell r="B49" t="str">
            <v>TIENNGOC</v>
          </cell>
        </row>
        <row r="50">
          <cell r="B50" t="str">
            <v>NGANKHANH</v>
          </cell>
        </row>
        <row r="51">
          <cell r="B51" t="str">
            <v>THAONGUYEN</v>
          </cell>
        </row>
        <row r="52">
          <cell r="B52" t="str">
            <v>DIPHO</v>
          </cell>
        </row>
        <row r="53">
          <cell r="B53" t="str">
            <v>PHUOCHANH</v>
          </cell>
        </row>
        <row r="54">
          <cell r="B54" t="str">
            <v>TRUONGVINH</v>
          </cell>
        </row>
        <row r="55">
          <cell r="B55" t="str">
            <v>THANHDAT</v>
          </cell>
        </row>
        <row r="56">
          <cell r="B56" t="str">
            <v>DONGTHINH</v>
          </cell>
        </row>
        <row r="57">
          <cell r="B57" t="str">
            <v>QUANGTUAN</v>
          </cell>
        </row>
        <row r="58">
          <cell r="B58" t="str">
            <v>YENHANH</v>
          </cell>
        </row>
        <row r="59">
          <cell r="B59" t="str">
            <v>TUHAI</v>
          </cell>
        </row>
        <row r="60">
          <cell r="B60" t="str">
            <v>NGABINH</v>
          </cell>
        </row>
        <row r="61">
          <cell r="B61" t="str">
            <v>ANHKHOA</v>
          </cell>
        </row>
        <row r="62">
          <cell r="B62" t="str">
            <v>DANGKHOA</v>
          </cell>
        </row>
        <row r="63">
          <cell r="B63" t="str">
            <v>HAMAI</v>
          </cell>
        </row>
        <row r="64">
          <cell r="B64" t="str">
            <v>VANMUA</v>
          </cell>
        </row>
        <row r="65">
          <cell r="B65" t="str">
            <v>themkh</v>
          </cell>
        </row>
        <row r="66">
          <cell r="B66" t="str">
            <v>ddddffff</v>
          </cell>
        </row>
        <row r="79">
          <cell r="B79" t="str">
            <v>ffffff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Layout" workbookViewId="0" topLeftCell="A1">
      <selection activeCell="G29" sqref="G29"/>
    </sheetView>
  </sheetViews>
  <sheetFormatPr defaultColWidth="9" defaultRowHeight="14.25"/>
  <cols>
    <col min="1" max="1" width="4.19921875" style="90" customWidth="1"/>
    <col min="2" max="2" width="10" style="90" bestFit="1" customWidth="1"/>
    <col min="3" max="3" width="14.09765625" style="155" bestFit="1" customWidth="1"/>
    <col min="4" max="4" width="14" style="156" bestFit="1" customWidth="1"/>
    <col min="5" max="5" width="10.19921875" style="90" bestFit="1" customWidth="1"/>
    <col min="6" max="6" width="9.296875" style="90" bestFit="1" customWidth="1"/>
    <col min="7" max="7" width="9" style="156" customWidth="1"/>
    <col min="8" max="8" width="15.5" style="90" bestFit="1" customWidth="1"/>
    <col min="9" max="16384" width="9" style="90" customWidth="1"/>
  </cols>
  <sheetData>
    <row r="1" ht="13.5">
      <c r="B1" s="227" t="s">
        <v>162</v>
      </c>
    </row>
    <row r="2" ht="13.5">
      <c r="B2" s="227" t="s">
        <v>104</v>
      </c>
    </row>
    <row r="3" ht="13.5">
      <c r="B3" s="227" t="s">
        <v>145</v>
      </c>
    </row>
    <row r="4" ht="13.5">
      <c r="B4" s="227" t="s">
        <v>146</v>
      </c>
    </row>
    <row r="5" ht="14.25" thickBot="1"/>
    <row r="6" spans="1:8" ht="14.25" thickBot="1">
      <c r="A6" s="167" t="s">
        <v>48</v>
      </c>
      <c r="B6" s="167" t="s">
        <v>54</v>
      </c>
      <c r="C6" s="168" t="s">
        <v>150</v>
      </c>
      <c r="D6" s="169" t="s">
        <v>105</v>
      </c>
      <c r="E6" s="170" t="s">
        <v>120</v>
      </c>
      <c r="F6" s="170" t="s">
        <v>107</v>
      </c>
      <c r="G6" s="169" t="s">
        <v>128</v>
      </c>
      <c r="H6" s="171" t="s">
        <v>108</v>
      </c>
    </row>
    <row r="7" spans="1:8" ht="13.5">
      <c r="A7" s="206">
        <v>1</v>
      </c>
      <c r="B7" s="207" t="s">
        <v>106</v>
      </c>
      <c r="C7" s="208">
        <v>2000000</v>
      </c>
      <c r="D7" s="209">
        <v>43891</v>
      </c>
      <c r="E7" s="207" t="s">
        <v>121</v>
      </c>
      <c r="F7" s="207" t="s">
        <v>124</v>
      </c>
      <c r="G7" s="209" t="s">
        <v>129</v>
      </c>
      <c r="H7" s="228" t="s">
        <v>109</v>
      </c>
    </row>
    <row r="8" spans="1:8" ht="13.5">
      <c r="A8" s="210">
        <v>2</v>
      </c>
      <c r="B8" s="88" t="s">
        <v>110</v>
      </c>
      <c r="C8" s="160">
        <v>2000000</v>
      </c>
      <c r="D8" s="161">
        <v>43983</v>
      </c>
      <c r="E8" s="88" t="s">
        <v>122</v>
      </c>
      <c r="F8" s="88" t="s">
        <v>125</v>
      </c>
      <c r="G8" s="161" t="s">
        <v>129</v>
      </c>
      <c r="H8" s="162" t="s">
        <v>109</v>
      </c>
    </row>
    <row r="9" spans="1:8" ht="13.5">
      <c r="A9" s="210">
        <v>3</v>
      </c>
      <c r="B9" s="88" t="s">
        <v>111</v>
      </c>
      <c r="C9" s="160">
        <v>2000000</v>
      </c>
      <c r="D9" s="161">
        <v>43997</v>
      </c>
      <c r="E9" s="88" t="s">
        <v>123</v>
      </c>
      <c r="F9" s="88" t="s">
        <v>126</v>
      </c>
      <c r="G9" s="161" t="s">
        <v>129</v>
      </c>
      <c r="H9" s="162" t="s">
        <v>109</v>
      </c>
    </row>
    <row r="10" spans="1:8" ht="13.5">
      <c r="A10" s="210">
        <v>4</v>
      </c>
      <c r="B10" s="88" t="s">
        <v>112</v>
      </c>
      <c r="C10" s="160">
        <v>2000000</v>
      </c>
      <c r="D10" s="161">
        <v>43997</v>
      </c>
      <c r="E10" s="88" t="s">
        <v>123</v>
      </c>
      <c r="F10" s="88" t="s">
        <v>127</v>
      </c>
      <c r="G10" s="161" t="s">
        <v>129</v>
      </c>
      <c r="H10" s="162" t="s">
        <v>109</v>
      </c>
    </row>
    <row r="11" spans="1:8" ht="13.5">
      <c r="A11" s="210">
        <v>5</v>
      </c>
      <c r="B11" s="88" t="s">
        <v>113</v>
      </c>
      <c r="C11" s="160">
        <v>2000000</v>
      </c>
      <c r="D11" s="161">
        <v>43997</v>
      </c>
      <c r="E11" s="88" t="s">
        <v>123</v>
      </c>
      <c r="F11" s="88" t="s">
        <v>124</v>
      </c>
      <c r="G11" s="161" t="s">
        <v>130</v>
      </c>
      <c r="H11" s="162" t="s">
        <v>109</v>
      </c>
    </row>
    <row r="12" spans="1:8" ht="13.5">
      <c r="A12" s="210">
        <v>6</v>
      </c>
      <c r="B12" s="88" t="s">
        <v>114</v>
      </c>
      <c r="C12" s="160">
        <v>800000</v>
      </c>
      <c r="D12" s="161">
        <v>43891</v>
      </c>
      <c r="E12" s="88" t="s">
        <v>123</v>
      </c>
      <c r="F12" s="88" t="s">
        <v>125</v>
      </c>
      <c r="G12" s="161" t="s">
        <v>130</v>
      </c>
      <c r="H12" s="162" t="s">
        <v>109</v>
      </c>
    </row>
    <row r="13" spans="1:8" ht="13.5">
      <c r="A13" s="210">
        <v>7</v>
      </c>
      <c r="B13" s="88" t="s">
        <v>115</v>
      </c>
      <c r="C13" s="160">
        <v>800000</v>
      </c>
      <c r="D13" s="161">
        <v>43891</v>
      </c>
      <c r="E13" s="88" t="s">
        <v>123</v>
      </c>
      <c r="F13" s="88" t="s">
        <v>126</v>
      </c>
      <c r="G13" s="161" t="s">
        <v>130</v>
      </c>
      <c r="H13" s="162" t="s">
        <v>109</v>
      </c>
    </row>
    <row r="14" spans="1:8" ht="13.5">
      <c r="A14" s="210">
        <v>8</v>
      </c>
      <c r="B14" s="88" t="s">
        <v>116</v>
      </c>
      <c r="C14" s="160">
        <v>800000</v>
      </c>
      <c r="D14" s="161">
        <v>43891</v>
      </c>
      <c r="E14" s="88" t="s">
        <v>123</v>
      </c>
      <c r="F14" s="88" t="s">
        <v>127</v>
      </c>
      <c r="G14" s="161" t="s">
        <v>130</v>
      </c>
      <c r="H14" s="162" t="s">
        <v>109</v>
      </c>
    </row>
    <row r="15" spans="1:8" ht="13.5">
      <c r="A15" s="210">
        <v>9</v>
      </c>
      <c r="B15" s="88" t="s">
        <v>117</v>
      </c>
      <c r="C15" s="160">
        <v>800000</v>
      </c>
      <c r="D15" s="161">
        <v>43905</v>
      </c>
      <c r="E15" s="88" t="s">
        <v>123</v>
      </c>
      <c r="F15" s="88" t="s">
        <v>124</v>
      </c>
      <c r="G15" s="161" t="s">
        <v>131</v>
      </c>
      <c r="H15" s="162" t="s">
        <v>109</v>
      </c>
    </row>
    <row r="16" spans="1:8" ht="13.5">
      <c r="A16" s="210">
        <v>10</v>
      </c>
      <c r="B16" s="88" t="s">
        <v>118</v>
      </c>
      <c r="C16" s="160">
        <v>800000</v>
      </c>
      <c r="D16" s="161">
        <v>44053</v>
      </c>
      <c r="E16" s="88" t="s">
        <v>123</v>
      </c>
      <c r="F16" s="88" t="s">
        <v>125</v>
      </c>
      <c r="G16" s="161" t="s">
        <v>131</v>
      </c>
      <c r="H16" s="162" t="s">
        <v>109</v>
      </c>
    </row>
    <row r="17" spans="1:8" ht="13.5">
      <c r="A17" s="210">
        <v>11</v>
      </c>
      <c r="B17" s="88" t="s">
        <v>119</v>
      </c>
      <c r="C17" s="160">
        <v>800000</v>
      </c>
      <c r="D17" s="161">
        <v>44058</v>
      </c>
      <c r="E17" s="88" t="s">
        <v>123</v>
      </c>
      <c r="F17" s="88" t="s">
        <v>126</v>
      </c>
      <c r="G17" s="161" t="s">
        <v>131</v>
      </c>
      <c r="H17" s="162" t="s">
        <v>109</v>
      </c>
    </row>
    <row r="18" spans="1:8" ht="13.5">
      <c r="A18" s="210">
        <v>12</v>
      </c>
      <c r="B18" s="88"/>
      <c r="C18" s="160"/>
      <c r="D18" s="161"/>
      <c r="E18" s="88"/>
      <c r="F18" s="88"/>
      <c r="G18" s="161"/>
      <c r="H18" s="162"/>
    </row>
    <row r="19" spans="1:8" ht="13.5">
      <c r="A19" s="210">
        <v>13</v>
      </c>
      <c r="B19" s="88"/>
      <c r="C19" s="160"/>
      <c r="D19" s="161"/>
      <c r="E19" s="88"/>
      <c r="F19" s="88"/>
      <c r="G19" s="161"/>
      <c r="H19" s="162"/>
    </row>
    <row r="20" spans="1:8" ht="13.5">
      <c r="A20" s="210">
        <v>14</v>
      </c>
      <c r="B20" s="88"/>
      <c r="C20" s="160"/>
      <c r="D20" s="161"/>
      <c r="E20" s="88"/>
      <c r="F20" s="88"/>
      <c r="G20" s="161"/>
      <c r="H20" s="162"/>
    </row>
    <row r="21" spans="1:8" ht="13.5">
      <c r="A21" s="210">
        <v>15</v>
      </c>
      <c r="B21" s="88"/>
      <c r="C21" s="160"/>
      <c r="D21" s="161"/>
      <c r="E21" s="88"/>
      <c r="F21" s="88"/>
      <c r="G21" s="161"/>
      <c r="H21" s="162"/>
    </row>
    <row r="22" spans="1:8" ht="13.5">
      <c r="A22" s="210">
        <v>16</v>
      </c>
      <c r="B22" s="88"/>
      <c r="C22" s="160"/>
      <c r="D22" s="161"/>
      <c r="E22" s="88"/>
      <c r="F22" s="88"/>
      <c r="G22" s="161"/>
      <c r="H22" s="162"/>
    </row>
    <row r="23" spans="1:8" ht="13.5">
      <c r="A23" s="210">
        <v>17</v>
      </c>
      <c r="B23" s="88"/>
      <c r="C23" s="160"/>
      <c r="D23" s="161"/>
      <c r="E23" s="88"/>
      <c r="F23" s="88"/>
      <c r="G23" s="161"/>
      <c r="H23" s="162"/>
    </row>
    <row r="24" spans="1:8" ht="13.5">
      <c r="A24" s="210">
        <v>18</v>
      </c>
      <c r="B24" s="88"/>
      <c r="C24" s="160"/>
      <c r="D24" s="161"/>
      <c r="E24" s="88"/>
      <c r="F24" s="88"/>
      <c r="G24" s="161"/>
      <c r="H24" s="162"/>
    </row>
    <row r="25" spans="1:8" ht="13.5">
      <c r="A25" s="210">
        <v>19</v>
      </c>
      <c r="B25" s="88"/>
      <c r="C25" s="160"/>
      <c r="D25" s="161"/>
      <c r="E25" s="88"/>
      <c r="F25" s="88"/>
      <c r="G25" s="161"/>
      <c r="H25" s="162"/>
    </row>
    <row r="26" spans="1:8" ht="13.5">
      <c r="A26" s="210">
        <v>20</v>
      </c>
      <c r="B26" s="88"/>
      <c r="C26" s="160"/>
      <c r="D26" s="161"/>
      <c r="E26" s="88"/>
      <c r="F26" s="88"/>
      <c r="G26" s="161"/>
      <c r="H26" s="162"/>
    </row>
    <row r="27" spans="1:8" ht="13.5">
      <c r="A27" s="210">
        <v>21</v>
      </c>
      <c r="B27" s="88"/>
      <c r="C27" s="160"/>
      <c r="D27" s="161"/>
      <c r="E27" s="88"/>
      <c r="F27" s="88"/>
      <c r="G27" s="161"/>
      <c r="H27" s="162"/>
    </row>
    <row r="28" spans="1:8" ht="13.5">
      <c r="A28" s="210">
        <v>22</v>
      </c>
      <c r="B28" s="88"/>
      <c r="C28" s="160"/>
      <c r="D28" s="161"/>
      <c r="E28" s="88"/>
      <c r="F28" s="88"/>
      <c r="G28" s="161"/>
      <c r="H28" s="162"/>
    </row>
    <row r="29" spans="1:8" ht="13.5">
      <c r="A29" s="210">
        <v>23</v>
      </c>
      <c r="B29" s="88"/>
      <c r="C29" s="160"/>
      <c r="D29" s="161"/>
      <c r="E29" s="88"/>
      <c r="F29" s="88"/>
      <c r="G29" s="161"/>
      <c r="H29" s="162"/>
    </row>
    <row r="30" spans="1:8" ht="13.5">
      <c r="A30" s="210">
        <v>24</v>
      </c>
      <c r="B30" s="88"/>
      <c r="C30" s="160"/>
      <c r="D30" s="161"/>
      <c r="E30" s="88"/>
      <c r="F30" s="88"/>
      <c r="G30" s="161"/>
      <c r="H30" s="162"/>
    </row>
    <row r="31" spans="1:8" ht="13.5">
      <c r="A31" s="210">
        <v>25</v>
      </c>
      <c r="B31" s="88"/>
      <c r="C31" s="160"/>
      <c r="D31" s="161"/>
      <c r="E31" s="88"/>
      <c r="F31" s="88"/>
      <c r="G31" s="161"/>
      <c r="H31" s="162"/>
    </row>
    <row r="32" spans="1:8" ht="13.5">
      <c r="A32" s="210">
        <v>26</v>
      </c>
      <c r="B32" s="88"/>
      <c r="C32" s="160"/>
      <c r="D32" s="161"/>
      <c r="E32" s="88"/>
      <c r="F32" s="88"/>
      <c r="G32" s="161"/>
      <c r="H32" s="162"/>
    </row>
    <row r="33" spans="1:8" ht="13.5">
      <c r="A33" s="210">
        <v>27</v>
      </c>
      <c r="B33" s="88"/>
      <c r="C33" s="160"/>
      <c r="D33" s="161"/>
      <c r="E33" s="88"/>
      <c r="F33" s="88"/>
      <c r="G33" s="161"/>
      <c r="H33" s="162"/>
    </row>
    <row r="34" spans="1:8" ht="13.5">
      <c r="A34" s="210">
        <v>28</v>
      </c>
      <c r="B34" s="88"/>
      <c r="C34" s="160"/>
      <c r="D34" s="161"/>
      <c r="E34" s="88"/>
      <c r="F34" s="88"/>
      <c r="G34" s="161"/>
      <c r="H34" s="162"/>
    </row>
    <row r="35" spans="1:8" ht="13.5">
      <c r="A35" s="210">
        <v>29</v>
      </c>
      <c r="B35" s="88"/>
      <c r="C35" s="160"/>
      <c r="D35" s="161"/>
      <c r="E35" s="88"/>
      <c r="F35" s="88"/>
      <c r="G35" s="161"/>
      <c r="H35" s="162"/>
    </row>
    <row r="36" spans="1:8" ht="13.5">
      <c r="A36" s="210">
        <v>30</v>
      </c>
      <c r="B36" s="88"/>
      <c r="C36" s="160"/>
      <c r="D36" s="161"/>
      <c r="E36" s="88"/>
      <c r="F36" s="88"/>
      <c r="G36" s="161"/>
      <c r="H36" s="162"/>
    </row>
    <row r="37" spans="1:8" ht="13.5">
      <c r="A37" s="210">
        <v>31</v>
      </c>
      <c r="B37" s="88"/>
      <c r="C37" s="160"/>
      <c r="D37" s="161"/>
      <c r="E37" s="88"/>
      <c r="F37" s="88"/>
      <c r="G37" s="161"/>
      <c r="H37" s="162"/>
    </row>
    <row r="38" spans="1:8" ht="13.5">
      <c r="A38" s="210">
        <v>32</v>
      </c>
      <c r="B38" s="88"/>
      <c r="C38" s="160"/>
      <c r="D38" s="161"/>
      <c r="E38" s="88"/>
      <c r="F38" s="88"/>
      <c r="G38" s="161"/>
      <c r="H38" s="162"/>
    </row>
    <row r="39" spans="1:8" ht="13.5">
      <c r="A39" s="210">
        <v>33</v>
      </c>
      <c r="B39" s="88"/>
      <c r="C39" s="160"/>
      <c r="D39" s="161"/>
      <c r="E39" s="88"/>
      <c r="F39" s="88"/>
      <c r="G39" s="161"/>
      <c r="H39" s="162"/>
    </row>
    <row r="40" spans="1:8" ht="13.5">
      <c r="A40" s="210">
        <v>34</v>
      </c>
      <c r="B40" s="88"/>
      <c r="C40" s="160"/>
      <c r="D40" s="161"/>
      <c r="E40" s="88"/>
      <c r="F40" s="88"/>
      <c r="G40" s="161"/>
      <c r="H40" s="162"/>
    </row>
    <row r="41" spans="1:8" ht="13.5">
      <c r="A41" s="210">
        <v>35</v>
      </c>
      <c r="B41" s="88"/>
      <c r="C41" s="160"/>
      <c r="D41" s="161"/>
      <c r="E41" s="88"/>
      <c r="F41" s="88"/>
      <c r="G41" s="161"/>
      <c r="H41" s="162"/>
    </row>
    <row r="42" spans="1:8" ht="13.5">
      <c r="A42" s="210">
        <v>36</v>
      </c>
      <c r="B42" s="88"/>
      <c r="C42" s="160"/>
      <c r="D42" s="161"/>
      <c r="E42" s="88"/>
      <c r="F42" s="88"/>
      <c r="G42" s="161"/>
      <c r="H42" s="162"/>
    </row>
    <row r="43" spans="1:8" ht="13.5">
      <c r="A43" s="210">
        <v>37</v>
      </c>
      <c r="B43" s="88"/>
      <c r="C43" s="160"/>
      <c r="D43" s="161"/>
      <c r="E43" s="88"/>
      <c r="F43" s="88"/>
      <c r="G43" s="161"/>
      <c r="H43" s="162"/>
    </row>
    <row r="44" spans="1:8" ht="13.5">
      <c r="A44" s="210">
        <v>38</v>
      </c>
      <c r="B44" s="88"/>
      <c r="C44" s="160"/>
      <c r="D44" s="161"/>
      <c r="E44" s="88"/>
      <c r="F44" s="88"/>
      <c r="G44" s="161"/>
      <c r="H44" s="162"/>
    </row>
    <row r="45" spans="1:8" ht="13.5">
      <c r="A45" s="210">
        <v>39</v>
      </c>
      <c r="B45" s="88"/>
      <c r="C45" s="160"/>
      <c r="D45" s="161"/>
      <c r="E45" s="88"/>
      <c r="F45" s="88"/>
      <c r="G45" s="161"/>
      <c r="H45" s="162"/>
    </row>
    <row r="46" spans="1:8" ht="13.5">
      <c r="A46" s="210">
        <v>40</v>
      </c>
      <c r="B46" s="88"/>
      <c r="C46" s="160"/>
      <c r="D46" s="161"/>
      <c r="E46" s="88"/>
      <c r="F46" s="88"/>
      <c r="G46" s="161"/>
      <c r="H46" s="162"/>
    </row>
    <row r="47" spans="1:8" ht="13.5">
      <c r="A47" s="210">
        <v>41</v>
      </c>
      <c r="B47" s="88"/>
      <c r="C47" s="160"/>
      <c r="D47" s="161"/>
      <c r="E47" s="88"/>
      <c r="F47" s="88"/>
      <c r="G47" s="161"/>
      <c r="H47" s="162"/>
    </row>
    <row r="48" spans="1:8" ht="13.5">
      <c r="A48" s="210">
        <v>42</v>
      </c>
      <c r="B48" s="88"/>
      <c r="C48" s="160"/>
      <c r="D48" s="161"/>
      <c r="E48" s="88"/>
      <c r="F48" s="88"/>
      <c r="G48" s="161"/>
      <c r="H48" s="162"/>
    </row>
    <row r="49" spans="1:8" ht="13.5">
      <c r="A49" s="210">
        <v>43</v>
      </c>
      <c r="B49" s="88"/>
      <c r="C49" s="160"/>
      <c r="D49" s="161"/>
      <c r="E49" s="88"/>
      <c r="F49" s="88"/>
      <c r="G49" s="161"/>
      <c r="H49" s="162"/>
    </row>
    <row r="50" spans="1:8" ht="13.5">
      <c r="A50" s="210">
        <v>44</v>
      </c>
      <c r="B50" s="88"/>
      <c r="C50" s="160"/>
      <c r="D50" s="161"/>
      <c r="E50" s="88"/>
      <c r="F50" s="88"/>
      <c r="G50" s="161"/>
      <c r="H50" s="162"/>
    </row>
    <row r="51" spans="1:8" ht="13.5">
      <c r="A51" s="210">
        <v>45</v>
      </c>
      <c r="B51" s="88"/>
      <c r="C51" s="160"/>
      <c r="D51" s="161"/>
      <c r="E51" s="88"/>
      <c r="F51" s="88"/>
      <c r="G51" s="161"/>
      <c r="H51" s="162"/>
    </row>
    <row r="52" spans="1:8" ht="13.5">
      <c r="A52" s="210">
        <v>46</v>
      </c>
      <c r="B52" s="88"/>
      <c r="C52" s="160"/>
      <c r="D52" s="161"/>
      <c r="E52" s="88"/>
      <c r="F52" s="88"/>
      <c r="G52" s="161"/>
      <c r="H52" s="162"/>
    </row>
    <row r="53" spans="1:8" ht="13.5">
      <c r="A53" s="210">
        <v>47</v>
      </c>
      <c r="B53" s="88"/>
      <c r="C53" s="160"/>
      <c r="D53" s="161"/>
      <c r="E53" s="88"/>
      <c r="F53" s="88"/>
      <c r="G53" s="161"/>
      <c r="H53" s="162"/>
    </row>
    <row r="54" spans="1:8" ht="13.5">
      <c r="A54" s="210">
        <v>48</v>
      </c>
      <c r="B54" s="88"/>
      <c r="C54" s="160"/>
      <c r="D54" s="161"/>
      <c r="E54" s="88"/>
      <c r="F54" s="88"/>
      <c r="G54" s="161"/>
      <c r="H54" s="162"/>
    </row>
    <row r="55" spans="1:8" ht="13.5">
      <c r="A55" s="210">
        <v>49</v>
      </c>
      <c r="B55" s="88"/>
      <c r="C55" s="160"/>
      <c r="D55" s="161"/>
      <c r="E55" s="88"/>
      <c r="F55" s="88"/>
      <c r="G55" s="161"/>
      <c r="H55" s="162"/>
    </row>
    <row r="56" spans="1:8" ht="13.5">
      <c r="A56" s="210">
        <v>50</v>
      </c>
      <c r="B56" s="88"/>
      <c r="C56" s="160"/>
      <c r="D56" s="161"/>
      <c r="E56" s="88"/>
      <c r="F56" s="88"/>
      <c r="G56" s="161"/>
      <c r="H56" s="162"/>
    </row>
    <row r="57" spans="1:8" ht="13.5">
      <c r="A57" s="210">
        <v>51</v>
      </c>
      <c r="B57" s="88"/>
      <c r="C57" s="160"/>
      <c r="D57" s="161"/>
      <c r="E57" s="88"/>
      <c r="F57" s="88"/>
      <c r="G57" s="161"/>
      <c r="H57" s="162"/>
    </row>
    <row r="58" spans="1:8" ht="13.5">
      <c r="A58" s="210">
        <v>52</v>
      </c>
      <c r="B58" s="88"/>
      <c r="C58" s="160"/>
      <c r="D58" s="161"/>
      <c r="E58" s="88"/>
      <c r="F58" s="88"/>
      <c r="G58" s="161"/>
      <c r="H58" s="162"/>
    </row>
    <row r="59" spans="1:8" ht="13.5">
      <c r="A59" s="210">
        <v>53</v>
      </c>
      <c r="B59" s="88"/>
      <c r="C59" s="160"/>
      <c r="D59" s="161"/>
      <c r="E59" s="88"/>
      <c r="F59" s="88"/>
      <c r="G59" s="161"/>
      <c r="H59" s="162"/>
    </row>
    <row r="60" spans="1:8" ht="13.5">
      <c r="A60" s="210">
        <v>54</v>
      </c>
      <c r="B60" s="88"/>
      <c r="C60" s="160"/>
      <c r="D60" s="161"/>
      <c r="E60" s="88"/>
      <c r="F60" s="88"/>
      <c r="G60" s="161"/>
      <c r="H60" s="162"/>
    </row>
    <row r="61" spans="1:8" ht="13.5">
      <c r="A61" s="210">
        <v>55</v>
      </c>
      <c r="B61" s="88"/>
      <c r="C61" s="160"/>
      <c r="D61" s="161"/>
      <c r="E61" s="88"/>
      <c r="F61" s="88"/>
      <c r="G61" s="161"/>
      <c r="H61" s="162"/>
    </row>
    <row r="62" spans="1:8" ht="13.5">
      <c r="A62" s="210">
        <v>56</v>
      </c>
      <c r="B62" s="88"/>
      <c r="C62" s="160"/>
      <c r="D62" s="161"/>
      <c r="E62" s="88"/>
      <c r="F62" s="88"/>
      <c r="G62" s="161"/>
      <c r="H62" s="162"/>
    </row>
    <row r="63" spans="1:8" ht="13.5">
      <c r="A63" s="210">
        <v>57</v>
      </c>
      <c r="B63" s="88"/>
      <c r="C63" s="160"/>
      <c r="D63" s="161"/>
      <c r="E63" s="88"/>
      <c r="F63" s="88"/>
      <c r="G63" s="161"/>
      <c r="H63" s="162"/>
    </row>
    <row r="64" spans="1:8" ht="13.5">
      <c r="A64" s="210">
        <v>58</v>
      </c>
      <c r="B64" s="88"/>
      <c r="C64" s="160"/>
      <c r="D64" s="161"/>
      <c r="E64" s="88"/>
      <c r="F64" s="88"/>
      <c r="G64" s="161"/>
      <c r="H64" s="162"/>
    </row>
    <row r="65" spans="1:8" ht="13.5">
      <c r="A65" s="210">
        <v>59</v>
      </c>
      <c r="B65" s="88"/>
      <c r="C65" s="160"/>
      <c r="D65" s="161"/>
      <c r="E65" s="88"/>
      <c r="F65" s="88"/>
      <c r="G65" s="161"/>
      <c r="H65" s="162"/>
    </row>
    <row r="66" spans="1:8" ht="13.5">
      <c r="A66" s="210">
        <v>60</v>
      </c>
      <c r="B66" s="88"/>
      <c r="C66" s="160"/>
      <c r="D66" s="161"/>
      <c r="E66" s="88"/>
      <c r="F66" s="88"/>
      <c r="G66" s="161"/>
      <c r="H66" s="162"/>
    </row>
    <row r="67" spans="1:8" ht="13.5">
      <c r="A67" s="210">
        <v>61</v>
      </c>
      <c r="B67" s="88"/>
      <c r="C67" s="160"/>
      <c r="D67" s="161"/>
      <c r="E67" s="88"/>
      <c r="F67" s="88"/>
      <c r="G67" s="161"/>
      <c r="H67" s="162"/>
    </row>
    <row r="68" spans="1:8" ht="13.5">
      <c r="A68" s="210">
        <v>62</v>
      </c>
      <c r="B68" s="88"/>
      <c r="C68" s="160"/>
      <c r="D68" s="161"/>
      <c r="E68" s="88"/>
      <c r="F68" s="88"/>
      <c r="G68" s="161"/>
      <c r="H68" s="162"/>
    </row>
    <row r="69" spans="1:8" ht="13.5">
      <c r="A69" s="210">
        <v>63</v>
      </c>
      <c r="B69" s="88"/>
      <c r="C69" s="160"/>
      <c r="D69" s="161"/>
      <c r="E69" s="88"/>
      <c r="F69" s="88"/>
      <c r="G69" s="161"/>
      <c r="H69" s="162"/>
    </row>
    <row r="70" spans="1:8" ht="13.5">
      <c r="A70" s="210">
        <v>64</v>
      </c>
      <c r="B70" s="88"/>
      <c r="C70" s="160"/>
      <c r="D70" s="161"/>
      <c r="E70" s="88"/>
      <c r="F70" s="88"/>
      <c r="G70" s="161"/>
      <c r="H70" s="162"/>
    </row>
    <row r="71" spans="1:8" ht="13.5">
      <c r="A71" s="210">
        <v>65</v>
      </c>
      <c r="B71" s="88"/>
      <c r="C71" s="160"/>
      <c r="D71" s="161"/>
      <c r="E71" s="88"/>
      <c r="F71" s="88"/>
      <c r="G71" s="161"/>
      <c r="H71" s="162"/>
    </row>
    <row r="72" spans="1:8" ht="13.5">
      <c r="A72" s="210">
        <v>66</v>
      </c>
      <c r="B72" s="88"/>
      <c r="C72" s="160"/>
      <c r="D72" s="161"/>
      <c r="E72" s="88"/>
      <c r="F72" s="88"/>
      <c r="G72" s="161"/>
      <c r="H72" s="162"/>
    </row>
    <row r="73" spans="1:8" ht="13.5">
      <c r="A73" s="210">
        <v>67</v>
      </c>
      <c r="B73" s="88"/>
      <c r="C73" s="160"/>
      <c r="D73" s="161"/>
      <c r="E73" s="88"/>
      <c r="F73" s="88"/>
      <c r="G73" s="161"/>
      <c r="H73" s="162"/>
    </row>
    <row r="74" spans="1:8" ht="13.5">
      <c r="A74" s="210">
        <v>68</v>
      </c>
      <c r="B74" s="88"/>
      <c r="C74" s="160"/>
      <c r="D74" s="161"/>
      <c r="E74" s="88"/>
      <c r="F74" s="88"/>
      <c r="G74" s="161"/>
      <c r="H74" s="162"/>
    </row>
    <row r="75" spans="1:8" ht="13.5">
      <c r="A75" s="210">
        <v>69</v>
      </c>
      <c r="B75" s="88"/>
      <c r="C75" s="160"/>
      <c r="D75" s="161"/>
      <c r="E75" s="88"/>
      <c r="F75" s="88"/>
      <c r="G75" s="161"/>
      <c r="H75" s="162"/>
    </row>
    <row r="76" spans="1:8" ht="13.5">
      <c r="A76" s="210">
        <v>70</v>
      </c>
      <c r="B76" s="88"/>
      <c r="C76" s="160"/>
      <c r="D76" s="161"/>
      <c r="E76" s="88"/>
      <c r="F76" s="88"/>
      <c r="G76" s="161"/>
      <c r="H76" s="162"/>
    </row>
    <row r="77" spans="1:8" ht="13.5">
      <c r="A77" s="210">
        <v>71</v>
      </c>
      <c r="B77" s="88"/>
      <c r="C77" s="160"/>
      <c r="D77" s="161"/>
      <c r="E77" s="88"/>
      <c r="F77" s="88"/>
      <c r="G77" s="161"/>
      <c r="H77" s="162"/>
    </row>
    <row r="78" spans="1:8" ht="13.5">
      <c r="A78" s="210">
        <v>72</v>
      </c>
      <c r="B78" s="88"/>
      <c r="C78" s="160"/>
      <c r="D78" s="161"/>
      <c r="E78" s="88"/>
      <c r="F78" s="88"/>
      <c r="G78" s="161"/>
      <c r="H78" s="162"/>
    </row>
    <row r="79" spans="1:8" ht="13.5">
      <c r="A79" s="210">
        <v>73</v>
      </c>
      <c r="B79" s="88"/>
      <c r="C79" s="160"/>
      <c r="D79" s="161"/>
      <c r="E79" s="88"/>
      <c r="F79" s="88"/>
      <c r="G79" s="161"/>
      <c r="H79" s="162"/>
    </row>
    <row r="80" spans="1:8" ht="13.5">
      <c r="A80" s="210">
        <v>74</v>
      </c>
      <c r="B80" s="88"/>
      <c r="C80" s="160"/>
      <c r="D80" s="161"/>
      <c r="E80" s="88"/>
      <c r="F80" s="88"/>
      <c r="G80" s="161"/>
      <c r="H80" s="162"/>
    </row>
    <row r="81" spans="1:8" ht="13.5">
      <c r="A81" s="210">
        <v>75</v>
      </c>
      <c r="B81" s="88"/>
      <c r="C81" s="160"/>
      <c r="D81" s="161"/>
      <c r="E81" s="88"/>
      <c r="F81" s="88"/>
      <c r="G81" s="161"/>
      <c r="H81" s="162"/>
    </row>
    <row r="82" spans="1:8" ht="13.5">
      <c r="A82" s="210">
        <v>76</v>
      </c>
      <c r="B82" s="88"/>
      <c r="C82" s="160"/>
      <c r="D82" s="161"/>
      <c r="E82" s="88"/>
      <c r="F82" s="88"/>
      <c r="G82" s="161"/>
      <c r="H82" s="162"/>
    </row>
    <row r="83" spans="1:8" ht="13.5">
      <c r="A83" s="210">
        <v>77</v>
      </c>
      <c r="B83" s="88"/>
      <c r="C83" s="160"/>
      <c r="D83" s="161"/>
      <c r="E83" s="88"/>
      <c r="F83" s="88"/>
      <c r="G83" s="161"/>
      <c r="H83" s="162"/>
    </row>
    <row r="84" spans="1:8" ht="13.5">
      <c r="A84" s="210">
        <v>78</v>
      </c>
      <c r="B84" s="88"/>
      <c r="C84" s="160"/>
      <c r="D84" s="161"/>
      <c r="E84" s="88"/>
      <c r="F84" s="88"/>
      <c r="G84" s="161"/>
      <c r="H84" s="162"/>
    </row>
    <row r="85" spans="1:8" ht="13.5">
      <c r="A85" s="210">
        <v>79</v>
      </c>
      <c r="B85" s="88"/>
      <c r="C85" s="160"/>
      <c r="D85" s="161"/>
      <c r="E85" s="88"/>
      <c r="F85" s="88"/>
      <c r="G85" s="161"/>
      <c r="H85" s="162"/>
    </row>
    <row r="86" spans="1:8" ht="13.5">
      <c r="A86" s="210">
        <v>80</v>
      </c>
      <c r="B86" s="88"/>
      <c r="C86" s="160"/>
      <c r="D86" s="161"/>
      <c r="E86" s="88"/>
      <c r="F86" s="88"/>
      <c r="G86" s="161"/>
      <c r="H86" s="162"/>
    </row>
    <row r="87" spans="1:8" ht="13.5">
      <c r="A87" s="210">
        <v>81</v>
      </c>
      <c r="B87" s="88"/>
      <c r="C87" s="160"/>
      <c r="D87" s="161"/>
      <c r="E87" s="88"/>
      <c r="F87" s="88"/>
      <c r="G87" s="161"/>
      <c r="H87" s="162"/>
    </row>
    <row r="88" spans="1:8" ht="13.5">
      <c r="A88" s="210">
        <v>82</v>
      </c>
      <c r="B88" s="88"/>
      <c r="C88" s="160"/>
      <c r="D88" s="161"/>
      <c r="E88" s="88"/>
      <c r="F88" s="88"/>
      <c r="G88" s="161"/>
      <c r="H88" s="162"/>
    </row>
    <row r="89" spans="1:8" ht="13.5">
      <c r="A89" s="210">
        <v>83</v>
      </c>
      <c r="B89" s="88"/>
      <c r="C89" s="160"/>
      <c r="D89" s="161"/>
      <c r="E89" s="88"/>
      <c r="F89" s="88"/>
      <c r="G89" s="161"/>
      <c r="H89" s="162"/>
    </row>
    <row r="90" spans="1:8" ht="13.5">
      <c r="A90" s="210">
        <v>84</v>
      </c>
      <c r="B90" s="88"/>
      <c r="C90" s="160"/>
      <c r="D90" s="161"/>
      <c r="E90" s="88"/>
      <c r="F90" s="88"/>
      <c r="G90" s="161"/>
      <c r="H90" s="162"/>
    </row>
    <row r="91" spans="1:8" ht="13.5">
      <c r="A91" s="210">
        <v>85</v>
      </c>
      <c r="B91" s="88"/>
      <c r="C91" s="160"/>
      <c r="D91" s="161"/>
      <c r="E91" s="88"/>
      <c r="F91" s="88"/>
      <c r="G91" s="161"/>
      <c r="H91" s="162"/>
    </row>
    <row r="92" spans="1:8" ht="13.5">
      <c r="A92" s="210">
        <v>86</v>
      </c>
      <c r="B92" s="88"/>
      <c r="C92" s="160"/>
      <c r="D92" s="161"/>
      <c r="E92" s="88"/>
      <c r="F92" s="88"/>
      <c r="G92" s="161"/>
      <c r="H92" s="162"/>
    </row>
    <row r="93" spans="1:8" ht="13.5">
      <c r="A93" s="210">
        <v>87</v>
      </c>
      <c r="B93" s="88"/>
      <c r="C93" s="160"/>
      <c r="D93" s="161"/>
      <c r="E93" s="88"/>
      <c r="F93" s="88"/>
      <c r="G93" s="161"/>
      <c r="H93" s="162"/>
    </row>
    <row r="94" spans="1:8" ht="13.5">
      <c r="A94" s="210">
        <v>88</v>
      </c>
      <c r="B94" s="88"/>
      <c r="C94" s="160"/>
      <c r="D94" s="161"/>
      <c r="E94" s="88"/>
      <c r="F94" s="88"/>
      <c r="G94" s="161"/>
      <c r="H94" s="162"/>
    </row>
    <row r="95" spans="1:8" ht="13.5">
      <c r="A95" s="210">
        <v>89</v>
      </c>
      <c r="B95" s="88"/>
      <c r="C95" s="160"/>
      <c r="D95" s="161"/>
      <c r="E95" s="88"/>
      <c r="F95" s="88"/>
      <c r="G95" s="161"/>
      <c r="H95" s="162"/>
    </row>
    <row r="96" spans="1:8" ht="13.5">
      <c r="A96" s="210">
        <v>90</v>
      </c>
      <c r="B96" s="88"/>
      <c r="C96" s="160"/>
      <c r="D96" s="161"/>
      <c r="E96" s="88"/>
      <c r="F96" s="88"/>
      <c r="G96" s="161"/>
      <c r="H96" s="162"/>
    </row>
    <row r="97" spans="1:8" ht="13.5">
      <c r="A97" s="210">
        <v>91</v>
      </c>
      <c r="B97" s="88"/>
      <c r="C97" s="160"/>
      <c r="D97" s="161"/>
      <c r="E97" s="88"/>
      <c r="F97" s="88"/>
      <c r="G97" s="161"/>
      <c r="H97" s="162"/>
    </row>
    <row r="98" spans="1:8" ht="13.5">
      <c r="A98" s="210">
        <v>92</v>
      </c>
      <c r="B98" s="88"/>
      <c r="C98" s="160"/>
      <c r="D98" s="161"/>
      <c r="E98" s="88"/>
      <c r="F98" s="88"/>
      <c r="G98" s="161"/>
      <c r="H98" s="162"/>
    </row>
    <row r="99" spans="1:8" ht="13.5">
      <c r="A99" s="210">
        <v>93</v>
      </c>
      <c r="B99" s="88"/>
      <c r="C99" s="160"/>
      <c r="D99" s="161"/>
      <c r="E99" s="88"/>
      <c r="F99" s="88"/>
      <c r="G99" s="161"/>
      <c r="H99" s="162"/>
    </row>
    <row r="100" spans="1:8" ht="13.5">
      <c r="A100" s="210">
        <v>94</v>
      </c>
      <c r="B100" s="88"/>
      <c r="C100" s="160"/>
      <c r="D100" s="161"/>
      <c r="E100" s="88"/>
      <c r="F100" s="88"/>
      <c r="G100" s="161"/>
      <c r="H100" s="162"/>
    </row>
    <row r="101" spans="1:8" ht="14.25" thickBot="1">
      <c r="A101" s="211">
        <v>95</v>
      </c>
      <c r="B101" s="165"/>
      <c r="C101" s="163"/>
      <c r="D101" s="164"/>
      <c r="E101" s="165"/>
      <c r="F101" s="165"/>
      <c r="G101" s="164"/>
      <c r="H101" s="166"/>
    </row>
  </sheetData>
  <sheetProtection/>
  <printOptions/>
  <pageMargins left="0.7" right="0.7" top="0.75" bottom="0.75" header="0.3" footer="0.3"/>
  <pageSetup fitToHeight="0" fitToWidth="1" horizontalDpi="203" verticalDpi="203" orientation="portrait" paperSize="9" scale="19" r:id="rId2"/>
  <headerFooter scaleWithDoc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B1">
      <selection activeCell="L4" sqref="L4"/>
    </sheetView>
  </sheetViews>
  <sheetFormatPr defaultColWidth="9" defaultRowHeight="14.25"/>
  <cols>
    <col min="1" max="1" width="0" style="143" hidden="1" customWidth="1"/>
    <col min="2" max="2" width="6.09765625" style="143" customWidth="1"/>
    <col min="3" max="3" width="11" style="143" customWidth="1"/>
    <col min="4" max="4" width="15" style="142" bestFit="1" customWidth="1"/>
    <col min="5" max="5" width="8.796875" style="143" customWidth="1"/>
    <col min="6" max="6" width="10.19921875" style="154" customWidth="1"/>
    <col min="7" max="7" width="18.09765625" style="143" bestFit="1" customWidth="1"/>
    <col min="8" max="8" width="9" style="143" customWidth="1"/>
    <col min="9" max="9" width="11.5" style="143" bestFit="1" customWidth="1"/>
    <col min="10" max="10" width="11.296875" style="143" bestFit="1" customWidth="1"/>
    <col min="11" max="11" width="8.69921875" style="143" bestFit="1" customWidth="1"/>
    <col min="12" max="12" width="8.69921875" style="158" customWidth="1"/>
    <col min="13" max="13" width="10.69921875" style="143" bestFit="1" customWidth="1"/>
    <col min="14" max="14" width="10.09765625" style="143" bestFit="1" customWidth="1"/>
    <col min="15" max="15" width="10.5" style="143" bestFit="1" customWidth="1"/>
    <col min="16" max="16384" width="9" style="143" customWidth="1"/>
  </cols>
  <sheetData>
    <row r="1" spans="2:12" s="141" customFormat="1" ht="12.75">
      <c r="B1" s="230" t="str">
        <f>'Danh sách lớp '!B1</f>
        <v>Trung tâm tiếng anh Cô </v>
      </c>
      <c r="C1" s="230"/>
      <c r="F1" s="153"/>
      <c r="L1" s="157"/>
    </row>
    <row r="2" spans="2:15" s="141" customFormat="1" ht="14.25">
      <c r="B2" s="230" t="str">
        <f>'Danh sách lớp '!B2</f>
        <v>Hà Nội</v>
      </c>
      <c r="C2" s="230"/>
      <c r="D2" s="232" t="s">
        <v>163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2:15" ht="21.75" customHeight="1">
      <c r="B3" s="231" t="s">
        <v>22</v>
      </c>
      <c r="C3" s="231"/>
      <c r="D3" s="233" t="s">
        <v>164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2:4" ht="21.75" customHeight="1" thickBot="1">
      <c r="B4" s="225" t="str">
        <f>'Danh sách lớp '!B4</f>
        <v>Email: 123@gmail.com</v>
      </c>
      <c r="C4" s="226" t="s">
        <v>47</v>
      </c>
      <c r="D4" s="143"/>
    </row>
    <row r="5" spans="2:15" ht="14.25" customHeight="1" thickBot="1">
      <c r="B5" s="141"/>
      <c r="C5" s="141"/>
      <c r="D5" s="143"/>
      <c r="K5" s="229" t="s">
        <v>43</v>
      </c>
      <c r="L5" s="229"/>
      <c r="M5" s="205">
        <f>SUBTOTAL(9,M7:M56)</f>
        <v>58600000</v>
      </c>
      <c r="N5" s="205">
        <f>SUBTOTAL(9,N7:N56)</f>
        <v>27700000</v>
      </c>
      <c r="O5" s="205">
        <f>SUBTOTAL(9,O7:O56)</f>
        <v>30900000</v>
      </c>
    </row>
    <row r="6" spans="2:15" s="144" customFormat="1" ht="39" customHeight="1" thickBot="1">
      <c r="B6" s="217" t="s">
        <v>48</v>
      </c>
      <c r="C6" s="212" t="s">
        <v>49</v>
      </c>
      <c r="D6" s="212" t="s">
        <v>50</v>
      </c>
      <c r="E6" s="212" t="s">
        <v>22</v>
      </c>
      <c r="F6" s="218" t="s">
        <v>51</v>
      </c>
      <c r="G6" s="212" t="s">
        <v>52</v>
      </c>
      <c r="H6" s="212" t="s">
        <v>53</v>
      </c>
      <c r="I6" s="212" t="s">
        <v>46</v>
      </c>
      <c r="J6" s="212" t="s">
        <v>132</v>
      </c>
      <c r="K6" s="212" t="s">
        <v>149</v>
      </c>
      <c r="L6" s="219" t="s">
        <v>134</v>
      </c>
      <c r="M6" s="212" t="s">
        <v>133</v>
      </c>
      <c r="N6" s="212" t="s">
        <v>135</v>
      </c>
      <c r="O6" s="212" t="s">
        <v>136</v>
      </c>
    </row>
    <row r="7" spans="1:15" s="144" customFormat="1" ht="12.75" customHeight="1">
      <c r="A7" s="144" t="str">
        <f>C7&amp;J7</f>
        <v>HS0001Toán 7</v>
      </c>
      <c r="B7" s="200">
        <v>1</v>
      </c>
      <c r="C7" s="197" t="s">
        <v>55</v>
      </c>
      <c r="D7" s="193" t="s">
        <v>96</v>
      </c>
      <c r="E7" s="201" t="s">
        <v>103</v>
      </c>
      <c r="F7" s="194">
        <v>40131</v>
      </c>
      <c r="G7" s="193" t="s">
        <v>165</v>
      </c>
      <c r="H7" s="195" t="str">
        <f aca="true" t="shared" si="0" ref="H7:H38">E7</f>
        <v>1122222</v>
      </c>
      <c r="I7" s="193" t="s">
        <v>181</v>
      </c>
      <c r="J7" s="195" t="s">
        <v>114</v>
      </c>
      <c r="K7" s="194">
        <v>44013</v>
      </c>
      <c r="L7" s="196">
        <v>12</v>
      </c>
      <c r="M7" s="213">
        <f>12*800000</f>
        <v>9600000</v>
      </c>
      <c r="N7" s="215">
        <f>SUMIF('Thu tiền học phí'!$A$9:$A$222,'Học viên- BC nợ học phí'!A7,SO_TIEN)</f>
        <v>8500000</v>
      </c>
      <c r="O7" s="216">
        <f>M7-N7</f>
        <v>1100000</v>
      </c>
    </row>
    <row r="8" spans="1:15" ht="12.75">
      <c r="A8" s="144" t="str">
        <f aca="true" t="shared" si="1" ref="A8:A56">C8&amp;J8</f>
        <v>HS0002Toán 7</v>
      </c>
      <c r="B8" s="185">
        <v>2</v>
      </c>
      <c r="C8" s="198" t="s">
        <v>56</v>
      </c>
      <c r="D8" s="146" t="s">
        <v>97</v>
      </c>
      <c r="E8" s="145"/>
      <c r="F8" s="182">
        <v>42713</v>
      </c>
      <c r="G8" s="146" t="s">
        <v>166</v>
      </c>
      <c r="H8" s="183">
        <f t="shared" si="0"/>
        <v>0</v>
      </c>
      <c r="I8" s="146" t="s">
        <v>182</v>
      </c>
      <c r="J8" s="183" t="s">
        <v>114</v>
      </c>
      <c r="K8" s="182">
        <v>44013</v>
      </c>
      <c r="L8" s="184">
        <v>3</v>
      </c>
      <c r="M8" s="214">
        <v>2400000</v>
      </c>
      <c r="N8" s="215">
        <f>SUMIF('Thu tiền học phí'!$A$9:$A$222,'Học viên- BC nợ học phí'!A8,SO_TIEN)</f>
        <v>0</v>
      </c>
      <c r="O8" s="216">
        <f aca="true" t="shared" si="2" ref="O8:O56">M8-N8</f>
        <v>2400000</v>
      </c>
    </row>
    <row r="9" spans="1:15" ht="12.75">
      <c r="A9" s="144" t="str">
        <f t="shared" si="1"/>
        <v>HS0003Toán 7</v>
      </c>
      <c r="B9" s="203">
        <v>3</v>
      </c>
      <c r="C9" s="198" t="s">
        <v>57</v>
      </c>
      <c r="D9" s="146" t="s">
        <v>98</v>
      </c>
      <c r="E9" s="145"/>
      <c r="F9" s="182">
        <v>39486</v>
      </c>
      <c r="G9" s="146" t="s">
        <v>167</v>
      </c>
      <c r="H9" s="183">
        <f t="shared" si="0"/>
        <v>0</v>
      </c>
      <c r="I9" s="146" t="s">
        <v>183</v>
      </c>
      <c r="J9" s="183" t="s">
        <v>114</v>
      </c>
      <c r="K9" s="182">
        <v>44028</v>
      </c>
      <c r="L9" s="184">
        <v>3</v>
      </c>
      <c r="M9" s="214">
        <v>2400000</v>
      </c>
      <c r="N9" s="215">
        <f>SUMIF('Thu tiền học phí'!$A$9:$A$222,'Học viên- BC nợ học phí'!A9,SO_TIEN)</f>
        <v>0</v>
      </c>
      <c r="O9" s="216">
        <f t="shared" si="2"/>
        <v>2400000</v>
      </c>
    </row>
    <row r="10" spans="1:15" ht="12.75">
      <c r="A10" s="144" t="str">
        <f t="shared" si="1"/>
        <v>HS0004Toán 7</v>
      </c>
      <c r="B10" s="185">
        <v>4</v>
      </c>
      <c r="C10" s="198" t="s">
        <v>58</v>
      </c>
      <c r="D10" s="146" t="s">
        <v>99</v>
      </c>
      <c r="E10" s="145"/>
      <c r="F10" s="182">
        <v>40957</v>
      </c>
      <c r="G10" s="146" t="s">
        <v>168</v>
      </c>
      <c r="H10" s="183">
        <f t="shared" si="0"/>
        <v>0</v>
      </c>
      <c r="I10" s="146" t="s">
        <v>181</v>
      </c>
      <c r="J10" s="183" t="s">
        <v>114</v>
      </c>
      <c r="K10" s="182">
        <v>44027</v>
      </c>
      <c r="L10" s="184">
        <v>3</v>
      </c>
      <c r="M10" s="214">
        <v>2400000</v>
      </c>
      <c r="N10" s="215">
        <f>SUMIF('Thu tiền học phí'!$A$9:$A$222,'Học viên- BC nợ học phí'!A10,SO_TIEN)</f>
        <v>0</v>
      </c>
      <c r="O10" s="216">
        <f t="shared" si="2"/>
        <v>2400000</v>
      </c>
    </row>
    <row r="11" spans="1:15" ht="12.75">
      <c r="A11" s="144" t="str">
        <f t="shared" si="1"/>
        <v>HS0005Tiếng Anh 5</v>
      </c>
      <c r="B11" s="203">
        <v>5</v>
      </c>
      <c r="C11" s="198" t="s">
        <v>59</v>
      </c>
      <c r="D11" s="146" t="s">
        <v>100</v>
      </c>
      <c r="E11" s="145"/>
      <c r="F11" s="182">
        <v>38056</v>
      </c>
      <c r="G11" s="146" t="s">
        <v>169</v>
      </c>
      <c r="H11" s="183">
        <f t="shared" si="0"/>
        <v>0</v>
      </c>
      <c r="I11" s="146" t="s">
        <v>184</v>
      </c>
      <c r="J11" s="183" t="s">
        <v>106</v>
      </c>
      <c r="K11" s="182">
        <v>44044</v>
      </c>
      <c r="L11" s="184">
        <v>2</v>
      </c>
      <c r="M11" s="214">
        <v>4000000</v>
      </c>
      <c r="N11" s="215">
        <f>SUMIF('Thu tiền học phí'!$A$9:$A$222,'Học viên- BC nợ học phí'!A11,SO_TIEN)</f>
        <v>0</v>
      </c>
      <c r="O11" s="216">
        <f t="shared" si="2"/>
        <v>4000000</v>
      </c>
    </row>
    <row r="12" spans="1:15" ht="12.75">
      <c r="A12" s="144" t="str">
        <f t="shared" si="1"/>
        <v>HS0006Tiếng Anh 3</v>
      </c>
      <c r="B12" s="185">
        <v>6</v>
      </c>
      <c r="C12" s="198" t="s">
        <v>60</v>
      </c>
      <c r="D12" s="146" t="s">
        <v>101</v>
      </c>
      <c r="E12" s="145"/>
      <c r="F12" s="182">
        <v>42590</v>
      </c>
      <c r="G12" s="146" t="s">
        <v>170</v>
      </c>
      <c r="H12" s="183">
        <f t="shared" si="0"/>
        <v>0</v>
      </c>
      <c r="I12" s="193" t="s">
        <v>181</v>
      </c>
      <c r="J12" s="183" t="s">
        <v>111</v>
      </c>
      <c r="K12" s="182">
        <v>44058</v>
      </c>
      <c r="L12" s="184">
        <v>3</v>
      </c>
      <c r="M12" s="214">
        <v>6000000</v>
      </c>
      <c r="N12" s="215">
        <f>SUMIF('Thu tiền học phí'!$A$9:$A$222,'Học viên- BC nợ học phí'!A12,SO_TIEN)</f>
        <v>0</v>
      </c>
      <c r="O12" s="216">
        <f t="shared" si="2"/>
        <v>6000000</v>
      </c>
    </row>
    <row r="13" spans="1:15" ht="12.75">
      <c r="A13" s="144" t="str">
        <f t="shared" si="1"/>
        <v>HS0007Toán 9</v>
      </c>
      <c r="B13" s="203">
        <v>7</v>
      </c>
      <c r="C13" s="198" t="s">
        <v>61</v>
      </c>
      <c r="D13" s="146" t="s">
        <v>102</v>
      </c>
      <c r="E13" s="145"/>
      <c r="F13" s="182">
        <v>42894</v>
      </c>
      <c r="G13" s="146" t="s">
        <v>171</v>
      </c>
      <c r="H13" s="183">
        <f t="shared" si="0"/>
        <v>0</v>
      </c>
      <c r="I13" s="146" t="s">
        <v>182</v>
      </c>
      <c r="J13" s="183" t="s">
        <v>116</v>
      </c>
      <c r="K13" s="182">
        <v>44058</v>
      </c>
      <c r="L13" s="184">
        <v>5</v>
      </c>
      <c r="M13" s="214">
        <v>4000000</v>
      </c>
      <c r="N13" s="215">
        <f>SUMIF('Thu tiền học phí'!$A$9:$A$222,'Học viên- BC nợ học phí'!A13,SO_TIEN)</f>
        <v>0</v>
      </c>
      <c r="O13" s="216">
        <f t="shared" si="2"/>
        <v>4000000</v>
      </c>
    </row>
    <row r="14" spans="1:15" ht="12.75">
      <c r="A14" s="144" t="str">
        <f t="shared" si="1"/>
        <v>HS0001Hóa 7</v>
      </c>
      <c r="B14" s="185">
        <v>8</v>
      </c>
      <c r="C14" s="197" t="s">
        <v>55</v>
      </c>
      <c r="D14" s="193" t="s">
        <v>96</v>
      </c>
      <c r="E14" s="201" t="s">
        <v>103</v>
      </c>
      <c r="F14" s="194">
        <v>40131</v>
      </c>
      <c r="G14" s="193" t="s">
        <v>172</v>
      </c>
      <c r="H14" s="195" t="str">
        <f>E14</f>
        <v>1122222</v>
      </c>
      <c r="I14" s="146" t="s">
        <v>183</v>
      </c>
      <c r="J14" s="183" t="s">
        <v>117</v>
      </c>
      <c r="K14" s="182">
        <v>44044</v>
      </c>
      <c r="L14" s="184">
        <v>6</v>
      </c>
      <c r="M14" s="214">
        <v>6400000</v>
      </c>
      <c r="N14" s="215">
        <f>SUMIF('Thu tiền học phí'!$A$9:$A$222,'Học viên- BC nợ học phí'!A14,SO_TIEN)</f>
        <v>0</v>
      </c>
      <c r="O14" s="216">
        <f t="shared" si="2"/>
        <v>6400000</v>
      </c>
    </row>
    <row r="15" spans="1:15" ht="12.75">
      <c r="A15" s="144" t="str">
        <f t="shared" si="1"/>
        <v>HS0001Tiếng Anh 5</v>
      </c>
      <c r="B15" s="203">
        <v>9</v>
      </c>
      <c r="C15" s="197" t="s">
        <v>55</v>
      </c>
      <c r="D15" s="193" t="s">
        <v>96</v>
      </c>
      <c r="E15" s="145"/>
      <c r="F15" s="194">
        <v>40131</v>
      </c>
      <c r="G15" s="193" t="s">
        <v>173</v>
      </c>
      <c r="H15" s="183">
        <f t="shared" si="0"/>
        <v>0</v>
      </c>
      <c r="I15" s="146" t="s">
        <v>181</v>
      </c>
      <c r="J15" s="183" t="s">
        <v>106</v>
      </c>
      <c r="K15" s="194">
        <v>44013</v>
      </c>
      <c r="L15" s="184">
        <v>3</v>
      </c>
      <c r="M15" s="214">
        <v>2400000</v>
      </c>
      <c r="N15" s="215">
        <f>SUMIF('Thu tiền học phí'!$A$9:$A$222,'Học viên- BC nợ học phí'!A15,SO_TIEN)</f>
        <v>1500000</v>
      </c>
      <c r="O15" s="216">
        <f t="shared" si="2"/>
        <v>900000</v>
      </c>
    </row>
    <row r="16" spans="1:15" ht="12.75">
      <c r="A16" s="144" t="str">
        <f t="shared" si="1"/>
        <v>HS0002Tiếng Anh 4</v>
      </c>
      <c r="B16" s="185">
        <v>10</v>
      </c>
      <c r="C16" s="198" t="s">
        <v>56</v>
      </c>
      <c r="D16" s="146" t="s">
        <v>97</v>
      </c>
      <c r="E16" s="145"/>
      <c r="F16" s="182">
        <v>42713</v>
      </c>
      <c r="G16" s="193" t="s">
        <v>174</v>
      </c>
      <c r="H16" s="183">
        <f t="shared" si="0"/>
        <v>0</v>
      </c>
      <c r="I16" s="146" t="s">
        <v>184</v>
      </c>
      <c r="J16" s="183" t="s">
        <v>110</v>
      </c>
      <c r="K16" s="182">
        <v>44013</v>
      </c>
      <c r="L16" s="184">
        <v>2</v>
      </c>
      <c r="M16" s="214">
        <v>1200000</v>
      </c>
      <c r="N16" s="215">
        <f>SUMIF('Thu tiền học phí'!$A$9:$A$222,'Học viên- BC nợ học phí'!A16,SO_TIEN)</f>
        <v>2500000</v>
      </c>
      <c r="O16" s="216">
        <f t="shared" si="2"/>
        <v>-1300000</v>
      </c>
    </row>
    <row r="17" spans="1:15" ht="12.75">
      <c r="A17" s="144" t="str">
        <f t="shared" si="1"/>
        <v>HS0003Tiếng Anh 2</v>
      </c>
      <c r="B17" s="203">
        <v>11</v>
      </c>
      <c r="C17" s="198" t="s">
        <v>57</v>
      </c>
      <c r="D17" s="146" t="s">
        <v>98</v>
      </c>
      <c r="E17" s="145"/>
      <c r="F17" s="182">
        <v>39486</v>
      </c>
      <c r="G17" s="193" t="s">
        <v>175</v>
      </c>
      <c r="H17" s="183">
        <f t="shared" si="0"/>
        <v>0</v>
      </c>
      <c r="I17" s="193" t="s">
        <v>181</v>
      </c>
      <c r="J17" s="183" t="s">
        <v>112</v>
      </c>
      <c r="K17" s="182">
        <v>44028</v>
      </c>
      <c r="L17" s="184">
        <v>3</v>
      </c>
      <c r="M17" s="214">
        <v>3500000</v>
      </c>
      <c r="N17" s="215">
        <f>SUMIF('Thu tiền học phí'!$A$9:$A$222,'Học viên- BC nợ học phí'!A17,SO_TIEN)</f>
        <v>3200000</v>
      </c>
      <c r="O17" s="216">
        <f t="shared" si="2"/>
        <v>300000</v>
      </c>
    </row>
    <row r="18" spans="1:15" ht="12.75">
      <c r="A18" s="144" t="str">
        <f t="shared" si="1"/>
        <v>HS0004Tiếng Anh 5</v>
      </c>
      <c r="B18" s="185">
        <v>12</v>
      </c>
      <c r="C18" s="198" t="s">
        <v>58</v>
      </c>
      <c r="D18" s="146" t="s">
        <v>99</v>
      </c>
      <c r="E18" s="145"/>
      <c r="F18" s="182">
        <v>40957</v>
      </c>
      <c r="G18" s="193" t="s">
        <v>176</v>
      </c>
      <c r="H18" s="183">
        <f t="shared" si="0"/>
        <v>0</v>
      </c>
      <c r="I18" s="146" t="s">
        <v>182</v>
      </c>
      <c r="J18" s="183" t="s">
        <v>106</v>
      </c>
      <c r="K18" s="182">
        <v>44027</v>
      </c>
      <c r="L18" s="184">
        <v>2</v>
      </c>
      <c r="M18" s="214">
        <v>1600000</v>
      </c>
      <c r="N18" s="215">
        <f>SUMIF('Thu tiền học phí'!$A$9:$A$222,'Học viên- BC nợ học phí'!A18,SO_TIEN)</f>
        <v>1400000</v>
      </c>
      <c r="O18" s="216">
        <f t="shared" si="2"/>
        <v>200000</v>
      </c>
    </row>
    <row r="19" spans="1:15" ht="12.75">
      <c r="A19" s="144" t="str">
        <f t="shared" si="1"/>
        <v>HS0005Tiếng Anh 4</v>
      </c>
      <c r="B19" s="203">
        <v>13</v>
      </c>
      <c r="C19" s="198" t="s">
        <v>59</v>
      </c>
      <c r="D19" s="146" t="s">
        <v>100</v>
      </c>
      <c r="E19" s="145"/>
      <c r="F19" s="182">
        <v>38056</v>
      </c>
      <c r="G19" s="193" t="s">
        <v>177</v>
      </c>
      <c r="H19" s="183">
        <f t="shared" si="0"/>
        <v>0</v>
      </c>
      <c r="I19" s="146" t="s">
        <v>183</v>
      </c>
      <c r="J19" s="183" t="s">
        <v>110</v>
      </c>
      <c r="K19" s="182">
        <v>44044</v>
      </c>
      <c r="L19" s="184">
        <v>3</v>
      </c>
      <c r="M19" s="214">
        <v>3800000</v>
      </c>
      <c r="N19" s="215">
        <f>SUMIF('Thu tiền học phí'!$A$9:$A$222,'Học viên- BC nợ học phí'!A19,SO_TIEN)</f>
        <v>1600000</v>
      </c>
      <c r="O19" s="216">
        <f t="shared" si="2"/>
        <v>2200000</v>
      </c>
    </row>
    <row r="20" spans="1:15" ht="12.75">
      <c r="A20" s="144" t="str">
        <f t="shared" si="1"/>
        <v>HS0006Tiếng Anh 2</v>
      </c>
      <c r="B20" s="185">
        <v>14</v>
      </c>
      <c r="C20" s="198" t="s">
        <v>60</v>
      </c>
      <c r="D20" s="146" t="s">
        <v>101</v>
      </c>
      <c r="E20" s="145"/>
      <c r="F20" s="182">
        <v>42590</v>
      </c>
      <c r="G20" s="193" t="s">
        <v>178</v>
      </c>
      <c r="H20" s="183">
        <f t="shared" si="0"/>
        <v>0</v>
      </c>
      <c r="I20" s="146" t="s">
        <v>181</v>
      </c>
      <c r="J20" s="183" t="s">
        <v>112</v>
      </c>
      <c r="K20" s="182">
        <v>44058</v>
      </c>
      <c r="L20" s="184">
        <v>4</v>
      </c>
      <c r="M20" s="214">
        <v>3500000</v>
      </c>
      <c r="N20" s="215">
        <f>SUMIF('Thu tiền học phí'!$A$9:$A$222,'Học viên- BC nợ học phí'!A20,SO_TIEN)</f>
        <v>2000000</v>
      </c>
      <c r="O20" s="216">
        <f t="shared" si="2"/>
        <v>1500000</v>
      </c>
    </row>
    <row r="21" spans="1:15" ht="12.75">
      <c r="A21" s="144" t="str">
        <f t="shared" si="1"/>
        <v>HS0007Tiếng Anh 5</v>
      </c>
      <c r="B21" s="203">
        <v>15</v>
      </c>
      <c r="C21" s="198" t="s">
        <v>61</v>
      </c>
      <c r="D21" s="146" t="s">
        <v>102</v>
      </c>
      <c r="E21" s="145"/>
      <c r="F21" s="182">
        <v>42894</v>
      </c>
      <c r="G21" s="193" t="s">
        <v>179</v>
      </c>
      <c r="H21" s="183">
        <f t="shared" si="0"/>
        <v>0</v>
      </c>
      <c r="I21" s="146" t="s">
        <v>184</v>
      </c>
      <c r="J21" s="183" t="s">
        <v>106</v>
      </c>
      <c r="K21" s="182">
        <v>44058</v>
      </c>
      <c r="L21" s="184">
        <v>5</v>
      </c>
      <c r="M21" s="214">
        <v>1600000</v>
      </c>
      <c r="N21" s="215">
        <f>SUMIF('Thu tiền học phí'!$A$9:$A$222,'Học viên- BC nợ học phí'!A21,SO_TIEN)</f>
        <v>5000000</v>
      </c>
      <c r="O21" s="216">
        <f t="shared" si="2"/>
        <v>-3400000</v>
      </c>
    </row>
    <row r="22" spans="1:15" ht="12.75">
      <c r="A22" s="144" t="str">
        <f t="shared" si="1"/>
        <v>HS0001Tiếng Anh 4</v>
      </c>
      <c r="B22" s="185">
        <v>16</v>
      </c>
      <c r="C22" s="197" t="s">
        <v>55</v>
      </c>
      <c r="D22" s="193" t="s">
        <v>96</v>
      </c>
      <c r="E22" s="145"/>
      <c r="F22" s="194">
        <v>40131</v>
      </c>
      <c r="G22" s="193" t="s">
        <v>180</v>
      </c>
      <c r="H22" s="183">
        <f t="shared" si="0"/>
        <v>0</v>
      </c>
      <c r="I22" s="193" t="s">
        <v>104</v>
      </c>
      <c r="J22" s="183" t="s">
        <v>110</v>
      </c>
      <c r="K22" s="182">
        <v>44044</v>
      </c>
      <c r="L22" s="184">
        <v>2</v>
      </c>
      <c r="M22" s="214">
        <v>3800000</v>
      </c>
      <c r="N22" s="215">
        <f>SUMIF('Thu tiền học phí'!$A$9:$A$222,'Học viên- BC nợ học phí'!A22,SO_TIEN)</f>
        <v>2000000</v>
      </c>
      <c r="O22" s="216">
        <f t="shared" si="2"/>
        <v>1800000</v>
      </c>
    </row>
    <row r="23" spans="1:15" ht="12.75">
      <c r="A23" s="144" t="str">
        <f t="shared" si="1"/>
        <v>HS0017</v>
      </c>
      <c r="B23" s="203">
        <v>17</v>
      </c>
      <c r="C23" s="198" t="s">
        <v>62</v>
      </c>
      <c r="D23" s="146"/>
      <c r="E23" s="145"/>
      <c r="F23" s="186"/>
      <c r="G23" s="145"/>
      <c r="H23" s="183">
        <f t="shared" si="0"/>
        <v>0</v>
      </c>
      <c r="I23" s="145"/>
      <c r="J23" s="183"/>
      <c r="K23" s="145"/>
      <c r="L23" s="187"/>
      <c r="M23" s="214"/>
      <c r="N23" s="215">
        <f>SUMIF('Thu tiền học phí'!$A$9:$A$222,'Học viên- BC nợ học phí'!A23,SO_TIEN)</f>
        <v>0</v>
      </c>
      <c r="O23" s="216">
        <f t="shared" si="2"/>
        <v>0</v>
      </c>
    </row>
    <row r="24" spans="1:15" ht="12.75">
      <c r="A24" s="144" t="str">
        <f t="shared" si="1"/>
        <v>HS0018</v>
      </c>
      <c r="B24" s="185">
        <v>18</v>
      </c>
      <c r="C24" s="198" t="s">
        <v>63</v>
      </c>
      <c r="D24" s="146"/>
      <c r="E24" s="145"/>
      <c r="F24" s="186"/>
      <c r="G24" s="145"/>
      <c r="H24" s="183">
        <f t="shared" si="0"/>
        <v>0</v>
      </c>
      <c r="I24" s="145"/>
      <c r="J24" s="183"/>
      <c r="K24" s="145"/>
      <c r="L24" s="187"/>
      <c r="M24" s="214"/>
      <c r="N24" s="215">
        <f>SUMIF('Thu tiền học phí'!$A$9:$A$222,'Học viên- BC nợ học phí'!A24,SO_TIEN)</f>
        <v>0</v>
      </c>
      <c r="O24" s="216">
        <f t="shared" si="2"/>
        <v>0</v>
      </c>
    </row>
    <row r="25" spans="1:15" ht="12.75">
      <c r="A25" s="144" t="str">
        <f t="shared" si="1"/>
        <v>HS0019</v>
      </c>
      <c r="B25" s="203">
        <v>19</v>
      </c>
      <c r="C25" s="198" t="s">
        <v>64</v>
      </c>
      <c r="D25" s="146"/>
      <c r="E25" s="145"/>
      <c r="F25" s="186"/>
      <c r="G25" s="145"/>
      <c r="H25" s="183">
        <f t="shared" si="0"/>
        <v>0</v>
      </c>
      <c r="I25" s="145"/>
      <c r="J25" s="183"/>
      <c r="K25" s="145"/>
      <c r="L25" s="187"/>
      <c r="M25" s="214"/>
      <c r="N25" s="215">
        <f>SUMIF('Thu tiền học phí'!$A$9:$A$222,'Học viên- BC nợ học phí'!A25,SO_TIEN)</f>
        <v>0</v>
      </c>
      <c r="O25" s="216">
        <f t="shared" si="2"/>
        <v>0</v>
      </c>
    </row>
    <row r="26" spans="1:15" ht="12.75">
      <c r="A26" s="144" t="str">
        <f t="shared" si="1"/>
        <v>HS0020</v>
      </c>
      <c r="B26" s="185">
        <v>20</v>
      </c>
      <c r="C26" s="198" t="s">
        <v>65</v>
      </c>
      <c r="D26" s="146"/>
      <c r="E26" s="145"/>
      <c r="F26" s="186"/>
      <c r="G26" s="145"/>
      <c r="H26" s="183">
        <f t="shared" si="0"/>
        <v>0</v>
      </c>
      <c r="I26" s="145"/>
      <c r="J26" s="183"/>
      <c r="K26" s="145"/>
      <c r="L26" s="187"/>
      <c r="M26" s="214"/>
      <c r="N26" s="215">
        <f>SUMIF('Thu tiền học phí'!$A$9:$A$222,'Học viên- BC nợ học phí'!A26,SO_TIEN)</f>
        <v>0</v>
      </c>
      <c r="O26" s="216">
        <f t="shared" si="2"/>
        <v>0</v>
      </c>
    </row>
    <row r="27" spans="1:15" ht="12.75">
      <c r="A27" s="144" t="str">
        <f t="shared" si="1"/>
        <v>HS0021</v>
      </c>
      <c r="B27" s="203">
        <v>21</v>
      </c>
      <c r="C27" s="198" t="s">
        <v>66</v>
      </c>
      <c r="D27" s="146"/>
      <c r="E27" s="145"/>
      <c r="F27" s="186"/>
      <c r="G27" s="145"/>
      <c r="H27" s="183">
        <f t="shared" si="0"/>
        <v>0</v>
      </c>
      <c r="I27" s="145"/>
      <c r="J27" s="183"/>
      <c r="K27" s="145"/>
      <c r="L27" s="187"/>
      <c r="M27" s="214"/>
      <c r="N27" s="215">
        <f>SUMIF('Thu tiền học phí'!$A$9:$A$222,'Học viên- BC nợ học phí'!A27,SO_TIEN)</f>
        <v>0</v>
      </c>
      <c r="O27" s="216">
        <f t="shared" si="2"/>
        <v>0</v>
      </c>
    </row>
    <row r="28" spans="1:15" ht="12.75">
      <c r="A28" s="144" t="str">
        <f t="shared" si="1"/>
        <v>HS0022</v>
      </c>
      <c r="B28" s="185">
        <v>22</v>
      </c>
      <c r="C28" s="198" t="s">
        <v>67</v>
      </c>
      <c r="D28" s="146"/>
      <c r="E28" s="145"/>
      <c r="F28" s="186"/>
      <c r="G28" s="145"/>
      <c r="H28" s="183">
        <f t="shared" si="0"/>
        <v>0</v>
      </c>
      <c r="I28" s="145"/>
      <c r="J28" s="183"/>
      <c r="K28" s="145"/>
      <c r="L28" s="187"/>
      <c r="M28" s="214"/>
      <c r="N28" s="215">
        <f>SUMIF('Thu tiền học phí'!$A$9:$A$222,'Học viên- BC nợ học phí'!A28,SO_TIEN)</f>
        <v>0</v>
      </c>
      <c r="O28" s="216">
        <f t="shared" si="2"/>
        <v>0</v>
      </c>
    </row>
    <row r="29" spans="1:15" ht="12.75">
      <c r="A29" s="144" t="str">
        <f t="shared" si="1"/>
        <v>HS0023</v>
      </c>
      <c r="B29" s="203">
        <v>23</v>
      </c>
      <c r="C29" s="198" t="s">
        <v>68</v>
      </c>
      <c r="D29" s="146"/>
      <c r="E29" s="145"/>
      <c r="F29" s="186"/>
      <c r="G29" s="145"/>
      <c r="H29" s="183">
        <f t="shared" si="0"/>
        <v>0</v>
      </c>
      <c r="I29" s="145"/>
      <c r="J29" s="183"/>
      <c r="K29" s="145"/>
      <c r="L29" s="187"/>
      <c r="M29" s="214"/>
      <c r="N29" s="215">
        <f>SUMIF('Thu tiền học phí'!$A$9:$A$222,'Học viên- BC nợ học phí'!A29,SO_TIEN)</f>
        <v>0</v>
      </c>
      <c r="O29" s="216">
        <f t="shared" si="2"/>
        <v>0</v>
      </c>
    </row>
    <row r="30" spans="1:15" ht="12.75">
      <c r="A30" s="144" t="str">
        <f t="shared" si="1"/>
        <v>HS0024</v>
      </c>
      <c r="B30" s="185">
        <v>24</v>
      </c>
      <c r="C30" s="198" t="s">
        <v>69</v>
      </c>
      <c r="D30" s="146"/>
      <c r="E30" s="145"/>
      <c r="F30" s="186"/>
      <c r="G30" s="145"/>
      <c r="H30" s="183">
        <f t="shared" si="0"/>
        <v>0</v>
      </c>
      <c r="I30" s="145"/>
      <c r="J30" s="183"/>
      <c r="K30" s="145"/>
      <c r="L30" s="187"/>
      <c r="M30" s="214"/>
      <c r="N30" s="215">
        <f>SUMIF('Thu tiền học phí'!$A$9:$A$222,'Học viên- BC nợ học phí'!A30,SO_TIEN)</f>
        <v>0</v>
      </c>
      <c r="O30" s="216">
        <f t="shared" si="2"/>
        <v>0</v>
      </c>
    </row>
    <row r="31" spans="1:15" ht="12.75">
      <c r="A31" s="144" t="str">
        <f t="shared" si="1"/>
        <v>HS0025</v>
      </c>
      <c r="B31" s="203">
        <v>25</v>
      </c>
      <c r="C31" s="198" t="s">
        <v>70</v>
      </c>
      <c r="D31" s="146"/>
      <c r="E31" s="145"/>
      <c r="F31" s="186"/>
      <c r="G31" s="145"/>
      <c r="H31" s="183">
        <f t="shared" si="0"/>
        <v>0</v>
      </c>
      <c r="I31" s="145"/>
      <c r="J31" s="183"/>
      <c r="K31" s="145"/>
      <c r="L31" s="187"/>
      <c r="M31" s="214"/>
      <c r="N31" s="215">
        <f>SUMIF('Thu tiền học phí'!$A$9:$A$222,'Học viên- BC nợ học phí'!A31,SO_TIEN)</f>
        <v>0</v>
      </c>
      <c r="O31" s="216">
        <f t="shared" si="2"/>
        <v>0</v>
      </c>
    </row>
    <row r="32" spans="1:15" ht="12.75">
      <c r="A32" s="144" t="str">
        <f t="shared" si="1"/>
        <v>HS0026</v>
      </c>
      <c r="B32" s="185">
        <v>26</v>
      </c>
      <c r="C32" s="198" t="s">
        <v>71</v>
      </c>
      <c r="D32" s="146"/>
      <c r="E32" s="145"/>
      <c r="F32" s="186"/>
      <c r="G32" s="145"/>
      <c r="H32" s="183">
        <f t="shared" si="0"/>
        <v>0</v>
      </c>
      <c r="I32" s="145"/>
      <c r="J32" s="183"/>
      <c r="K32" s="145"/>
      <c r="L32" s="187"/>
      <c r="M32" s="183"/>
      <c r="N32" s="195">
        <f>SUMIF('Thu tiền học phí'!$A$9:$A$222,'Học viên- BC nợ học phí'!A32,SO_TIEN)</f>
        <v>0</v>
      </c>
      <c r="O32" s="202">
        <f t="shared" si="2"/>
        <v>0</v>
      </c>
    </row>
    <row r="33" spans="1:15" ht="12.75">
      <c r="A33" s="144" t="str">
        <f t="shared" si="1"/>
        <v>HS0027</v>
      </c>
      <c r="B33" s="203">
        <v>27</v>
      </c>
      <c r="C33" s="198" t="s">
        <v>72</v>
      </c>
      <c r="D33" s="146"/>
      <c r="E33" s="145"/>
      <c r="F33" s="186"/>
      <c r="G33" s="145"/>
      <c r="H33" s="183">
        <f t="shared" si="0"/>
        <v>0</v>
      </c>
      <c r="I33" s="145"/>
      <c r="J33" s="183"/>
      <c r="K33" s="145"/>
      <c r="L33" s="187"/>
      <c r="M33" s="183"/>
      <c r="N33" s="195">
        <f>SUMIF('Thu tiền học phí'!$A$9:$A$222,'Học viên- BC nợ học phí'!A33,SO_TIEN)</f>
        <v>0</v>
      </c>
      <c r="O33" s="202">
        <f t="shared" si="2"/>
        <v>0</v>
      </c>
    </row>
    <row r="34" spans="1:15" ht="12.75">
      <c r="A34" s="144" t="str">
        <f t="shared" si="1"/>
        <v>HS0028</v>
      </c>
      <c r="B34" s="185">
        <v>28</v>
      </c>
      <c r="C34" s="198" t="s">
        <v>73</v>
      </c>
      <c r="D34" s="146"/>
      <c r="E34" s="145"/>
      <c r="F34" s="186"/>
      <c r="G34" s="145"/>
      <c r="H34" s="183">
        <f t="shared" si="0"/>
        <v>0</v>
      </c>
      <c r="I34" s="145"/>
      <c r="J34" s="183"/>
      <c r="K34" s="145"/>
      <c r="L34" s="187"/>
      <c r="M34" s="183"/>
      <c r="N34" s="195">
        <f>SUMIF('Thu tiền học phí'!$A$9:$A$222,'Học viên- BC nợ học phí'!A34,SO_TIEN)</f>
        <v>0</v>
      </c>
      <c r="O34" s="202">
        <f t="shared" si="2"/>
        <v>0</v>
      </c>
    </row>
    <row r="35" spans="1:15" ht="12.75">
      <c r="A35" s="144" t="str">
        <f t="shared" si="1"/>
        <v>HS0029</v>
      </c>
      <c r="B35" s="203">
        <v>29</v>
      </c>
      <c r="C35" s="198" t="s">
        <v>74</v>
      </c>
      <c r="D35" s="146"/>
      <c r="E35" s="145"/>
      <c r="F35" s="186"/>
      <c r="G35" s="145"/>
      <c r="H35" s="183">
        <f t="shared" si="0"/>
        <v>0</v>
      </c>
      <c r="I35" s="145"/>
      <c r="J35" s="183"/>
      <c r="K35" s="145"/>
      <c r="L35" s="187"/>
      <c r="M35" s="183"/>
      <c r="N35" s="195">
        <f>SUMIF('Thu tiền học phí'!$A$9:$A$222,'Học viên- BC nợ học phí'!A35,SO_TIEN)</f>
        <v>0</v>
      </c>
      <c r="O35" s="202">
        <f t="shared" si="2"/>
        <v>0</v>
      </c>
    </row>
    <row r="36" spans="1:15" ht="12.75">
      <c r="A36" s="144" t="str">
        <f t="shared" si="1"/>
        <v>HS0030</v>
      </c>
      <c r="B36" s="185">
        <v>30</v>
      </c>
      <c r="C36" s="198" t="s">
        <v>75</v>
      </c>
      <c r="D36" s="146"/>
      <c r="E36" s="145"/>
      <c r="F36" s="186"/>
      <c r="G36" s="145"/>
      <c r="H36" s="183">
        <f t="shared" si="0"/>
        <v>0</v>
      </c>
      <c r="I36" s="145"/>
      <c r="J36" s="183"/>
      <c r="K36" s="145"/>
      <c r="L36" s="187"/>
      <c r="M36" s="183"/>
      <c r="N36" s="195">
        <f>SUMIF('Thu tiền học phí'!$A$9:$A$222,'Học viên- BC nợ học phí'!A36,SO_TIEN)</f>
        <v>0</v>
      </c>
      <c r="O36" s="202">
        <f t="shared" si="2"/>
        <v>0</v>
      </c>
    </row>
    <row r="37" spans="1:15" ht="12.75">
      <c r="A37" s="144" t="str">
        <f t="shared" si="1"/>
        <v>HS0031</v>
      </c>
      <c r="B37" s="203">
        <v>31</v>
      </c>
      <c r="C37" s="198" t="s">
        <v>76</v>
      </c>
      <c r="D37" s="146"/>
      <c r="E37" s="145"/>
      <c r="F37" s="186"/>
      <c r="G37" s="145"/>
      <c r="H37" s="183">
        <f t="shared" si="0"/>
        <v>0</v>
      </c>
      <c r="I37" s="145"/>
      <c r="J37" s="183"/>
      <c r="K37" s="145"/>
      <c r="L37" s="187"/>
      <c r="M37" s="183"/>
      <c r="N37" s="195">
        <f>SUMIF('Thu tiền học phí'!$A$9:$A$222,'Học viên- BC nợ học phí'!A37,SO_TIEN)</f>
        <v>0</v>
      </c>
      <c r="O37" s="202">
        <f t="shared" si="2"/>
        <v>0</v>
      </c>
    </row>
    <row r="38" spans="1:15" ht="12.75">
      <c r="A38" s="144" t="str">
        <f t="shared" si="1"/>
        <v>HS0032</v>
      </c>
      <c r="B38" s="185">
        <v>32</v>
      </c>
      <c r="C38" s="198" t="s">
        <v>77</v>
      </c>
      <c r="D38" s="146"/>
      <c r="E38" s="145"/>
      <c r="F38" s="186"/>
      <c r="G38" s="145"/>
      <c r="H38" s="183">
        <f t="shared" si="0"/>
        <v>0</v>
      </c>
      <c r="I38" s="145"/>
      <c r="J38" s="183"/>
      <c r="K38" s="145"/>
      <c r="L38" s="187"/>
      <c r="M38" s="183"/>
      <c r="N38" s="195">
        <f>SUMIF('Thu tiền học phí'!$A$9:$A$222,'Học viên- BC nợ học phí'!A38,SO_TIEN)</f>
        <v>0</v>
      </c>
      <c r="O38" s="202">
        <f t="shared" si="2"/>
        <v>0</v>
      </c>
    </row>
    <row r="39" spans="1:15" ht="12.75">
      <c r="A39" s="144" t="str">
        <f t="shared" si="1"/>
        <v>HS0033</v>
      </c>
      <c r="B39" s="203">
        <v>33</v>
      </c>
      <c r="C39" s="198" t="s">
        <v>78</v>
      </c>
      <c r="D39" s="146"/>
      <c r="E39" s="145"/>
      <c r="F39" s="186"/>
      <c r="G39" s="145"/>
      <c r="H39" s="183">
        <f aca="true" t="shared" si="3" ref="H39:H56">E39</f>
        <v>0</v>
      </c>
      <c r="I39" s="145"/>
      <c r="J39" s="183"/>
      <c r="K39" s="145"/>
      <c r="L39" s="187"/>
      <c r="M39" s="183"/>
      <c r="N39" s="195">
        <f>SUMIF('Thu tiền học phí'!$A$9:$A$222,'Học viên- BC nợ học phí'!A39,SO_TIEN)</f>
        <v>0</v>
      </c>
      <c r="O39" s="202">
        <f t="shared" si="2"/>
        <v>0</v>
      </c>
    </row>
    <row r="40" spans="1:15" ht="12.75">
      <c r="A40" s="144" t="str">
        <f t="shared" si="1"/>
        <v>HS0034</v>
      </c>
      <c r="B40" s="185">
        <v>34</v>
      </c>
      <c r="C40" s="198" t="s">
        <v>79</v>
      </c>
      <c r="D40" s="146"/>
      <c r="E40" s="145"/>
      <c r="F40" s="186"/>
      <c r="G40" s="145"/>
      <c r="H40" s="183">
        <f t="shared" si="3"/>
        <v>0</v>
      </c>
      <c r="I40" s="145"/>
      <c r="J40" s="183"/>
      <c r="K40" s="145"/>
      <c r="L40" s="187"/>
      <c r="M40" s="183"/>
      <c r="N40" s="195">
        <f>SUMIF('Thu tiền học phí'!$A$9:$A$222,'Học viên- BC nợ học phí'!A40,SO_TIEN)</f>
        <v>0</v>
      </c>
      <c r="O40" s="202">
        <f t="shared" si="2"/>
        <v>0</v>
      </c>
    </row>
    <row r="41" spans="1:15" ht="12.75">
      <c r="A41" s="144" t="str">
        <f t="shared" si="1"/>
        <v>HS0035</v>
      </c>
      <c r="B41" s="203">
        <v>35</v>
      </c>
      <c r="C41" s="198" t="s">
        <v>80</v>
      </c>
      <c r="D41" s="146"/>
      <c r="E41" s="145"/>
      <c r="F41" s="186"/>
      <c r="G41" s="145"/>
      <c r="H41" s="183">
        <f t="shared" si="3"/>
        <v>0</v>
      </c>
      <c r="I41" s="145"/>
      <c r="J41" s="183"/>
      <c r="K41" s="145"/>
      <c r="L41" s="187"/>
      <c r="M41" s="183"/>
      <c r="N41" s="195">
        <f>SUMIF('Thu tiền học phí'!$A$9:$A$222,'Học viên- BC nợ học phí'!A41,SO_TIEN)</f>
        <v>0</v>
      </c>
      <c r="O41" s="202">
        <f t="shared" si="2"/>
        <v>0</v>
      </c>
    </row>
    <row r="42" spans="1:15" ht="12.75">
      <c r="A42" s="144" t="str">
        <f t="shared" si="1"/>
        <v>HS0036</v>
      </c>
      <c r="B42" s="185">
        <v>36</v>
      </c>
      <c r="C42" s="198" t="s">
        <v>81</v>
      </c>
      <c r="D42" s="146"/>
      <c r="E42" s="145"/>
      <c r="F42" s="186"/>
      <c r="G42" s="145"/>
      <c r="H42" s="183">
        <f t="shared" si="3"/>
        <v>0</v>
      </c>
      <c r="I42" s="145"/>
      <c r="J42" s="183"/>
      <c r="K42" s="145"/>
      <c r="L42" s="187"/>
      <c r="M42" s="183"/>
      <c r="N42" s="195">
        <f>SUMIF('Thu tiền học phí'!$A$9:$A$222,'Học viên- BC nợ học phí'!A42,SO_TIEN)</f>
        <v>0</v>
      </c>
      <c r="O42" s="202">
        <f t="shared" si="2"/>
        <v>0</v>
      </c>
    </row>
    <row r="43" spans="1:15" ht="12.75">
      <c r="A43" s="144" t="str">
        <f t="shared" si="1"/>
        <v>HS0037</v>
      </c>
      <c r="B43" s="203">
        <v>37</v>
      </c>
      <c r="C43" s="198" t="s">
        <v>82</v>
      </c>
      <c r="D43" s="146"/>
      <c r="E43" s="145"/>
      <c r="F43" s="186"/>
      <c r="G43" s="145"/>
      <c r="H43" s="183">
        <f t="shared" si="3"/>
        <v>0</v>
      </c>
      <c r="I43" s="145"/>
      <c r="J43" s="183"/>
      <c r="K43" s="145"/>
      <c r="L43" s="187"/>
      <c r="M43" s="183"/>
      <c r="N43" s="195">
        <f>SUMIF('Thu tiền học phí'!$A$9:$A$222,'Học viên- BC nợ học phí'!A43,SO_TIEN)</f>
        <v>0</v>
      </c>
      <c r="O43" s="202">
        <f t="shared" si="2"/>
        <v>0</v>
      </c>
    </row>
    <row r="44" spans="1:15" ht="12.75">
      <c r="A44" s="144" t="str">
        <f t="shared" si="1"/>
        <v>HS0038</v>
      </c>
      <c r="B44" s="185">
        <v>38</v>
      </c>
      <c r="C44" s="198" t="s">
        <v>83</v>
      </c>
      <c r="D44" s="146"/>
      <c r="E44" s="145"/>
      <c r="F44" s="186"/>
      <c r="G44" s="145"/>
      <c r="H44" s="183">
        <f t="shared" si="3"/>
        <v>0</v>
      </c>
      <c r="I44" s="145"/>
      <c r="J44" s="183"/>
      <c r="K44" s="145"/>
      <c r="L44" s="187"/>
      <c r="M44" s="183"/>
      <c r="N44" s="195">
        <f>SUMIF('Thu tiền học phí'!$A$9:$A$222,'Học viên- BC nợ học phí'!A44,SO_TIEN)</f>
        <v>0</v>
      </c>
      <c r="O44" s="202">
        <f t="shared" si="2"/>
        <v>0</v>
      </c>
    </row>
    <row r="45" spans="1:15" ht="12.75">
      <c r="A45" s="144" t="str">
        <f t="shared" si="1"/>
        <v>HS0039</v>
      </c>
      <c r="B45" s="203">
        <v>39</v>
      </c>
      <c r="C45" s="198" t="s">
        <v>84</v>
      </c>
      <c r="D45" s="146"/>
      <c r="E45" s="145"/>
      <c r="F45" s="186"/>
      <c r="G45" s="145"/>
      <c r="H45" s="183">
        <f t="shared" si="3"/>
        <v>0</v>
      </c>
      <c r="I45" s="145"/>
      <c r="J45" s="183"/>
      <c r="K45" s="145"/>
      <c r="L45" s="187"/>
      <c r="M45" s="183"/>
      <c r="N45" s="195">
        <f>SUMIF('Thu tiền học phí'!$A$9:$A$222,'Học viên- BC nợ học phí'!A45,SO_TIEN)</f>
        <v>0</v>
      </c>
      <c r="O45" s="202">
        <f t="shared" si="2"/>
        <v>0</v>
      </c>
    </row>
    <row r="46" spans="1:15" ht="12.75">
      <c r="A46" s="144" t="str">
        <f t="shared" si="1"/>
        <v>HS0040</v>
      </c>
      <c r="B46" s="185">
        <v>40</v>
      </c>
      <c r="C46" s="198" t="s">
        <v>85</v>
      </c>
      <c r="D46" s="146"/>
      <c r="E46" s="145"/>
      <c r="F46" s="186"/>
      <c r="G46" s="145"/>
      <c r="H46" s="183">
        <f t="shared" si="3"/>
        <v>0</v>
      </c>
      <c r="I46" s="145"/>
      <c r="J46" s="183"/>
      <c r="K46" s="145"/>
      <c r="L46" s="187"/>
      <c r="M46" s="183"/>
      <c r="N46" s="195">
        <f>SUMIF('Thu tiền học phí'!$A$9:$A$222,'Học viên- BC nợ học phí'!A46,SO_TIEN)</f>
        <v>0</v>
      </c>
      <c r="O46" s="202">
        <f t="shared" si="2"/>
        <v>0</v>
      </c>
    </row>
    <row r="47" spans="1:15" ht="12.75">
      <c r="A47" s="144" t="str">
        <f t="shared" si="1"/>
        <v>HS0041</v>
      </c>
      <c r="B47" s="203">
        <v>41</v>
      </c>
      <c r="C47" s="198" t="s">
        <v>86</v>
      </c>
      <c r="D47" s="146"/>
      <c r="E47" s="145"/>
      <c r="F47" s="186"/>
      <c r="G47" s="145"/>
      <c r="H47" s="183">
        <f t="shared" si="3"/>
        <v>0</v>
      </c>
      <c r="I47" s="145"/>
      <c r="J47" s="183"/>
      <c r="K47" s="145"/>
      <c r="L47" s="187"/>
      <c r="M47" s="183"/>
      <c r="N47" s="195">
        <f>SUMIF('Thu tiền học phí'!$A$9:$A$222,'Học viên- BC nợ học phí'!A47,SO_TIEN)</f>
        <v>0</v>
      </c>
      <c r="O47" s="202">
        <f t="shared" si="2"/>
        <v>0</v>
      </c>
    </row>
    <row r="48" spans="1:15" ht="12.75">
      <c r="A48" s="144" t="str">
        <f t="shared" si="1"/>
        <v>HS0042</v>
      </c>
      <c r="B48" s="185">
        <v>42</v>
      </c>
      <c r="C48" s="198" t="s">
        <v>87</v>
      </c>
      <c r="D48" s="146"/>
      <c r="E48" s="145"/>
      <c r="F48" s="186"/>
      <c r="G48" s="145"/>
      <c r="H48" s="183">
        <f t="shared" si="3"/>
        <v>0</v>
      </c>
      <c r="I48" s="145"/>
      <c r="J48" s="183"/>
      <c r="K48" s="145"/>
      <c r="L48" s="187"/>
      <c r="M48" s="183"/>
      <c r="N48" s="195">
        <f>SUMIF('Thu tiền học phí'!$A$9:$A$222,'Học viên- BC nợ học phí'!A48,SO_TIEN)</f>
        <v>0</v>
      </c>
      <c r="O48" s="202">
        <f t="shared" si="2"/>
        <v>0</v>
      </c>
    </row>
    <row r="49" spans="1:15" ht="12.75">
      <c r="A49" s="144" t="str">
        <f t="shared" si="1"/>
        <v>HS0043</v>
      </c>
      <c r="B49" s="203">
        <v>43</v>
      </c>
      <c r="C49" s="198" t="s">
        <v>88</v>
      </c>
      <c r="D49" s="146"/>
      <c r="E49" s="145"/>
      <c r="F49" s="186"/>
      <c r="G49" s="145"/>
      <c r="H49" s="183">
        <f t="shared" si="3"/>
        <v>0</v>
      </c>
      <c r="I49" s="145"/>
      <c r="J49" s="183"/>
      <c r="K49" s="145"/>
      <c r="L49" s="187"/>
      <c r="M49" s="183"/>
      <c r="N49" s="195">
        <f>SUMIF('Thu tiền học phí'!$A$9:$A$222,'Học viên- BC nợ học phí'!A49,SO_TIEN)</f>
        <v>0</v>
      </c>
      <c r="O49" s="202">
        <f t="shared" si="2"/>
        <v>0</v>
      </c>
    </row>
    <row r="50" spans="1:15" ht="12.75">
      <c r="A50" s="144" t="str">
        <f t="shared" si="1"/>
        <v>HS0044</v>
      </c>
      <c r="B50" s="185">
        <v>44</v>
      </c>
      <c r="C50" s="198" t="s">
        <v>89</v>
      </c>
      <c r="D50" s="146"/>
      <c r="E50" s="145"/>
      <c r="F50" s="186"/>
      <c r="G50" s="145"/>
      <c r="H50" s="183">
        <f t="shared" si="3"/>
        <v>0</v>
      </c>
      <c r="I50" s="145"/>
      <c r="J50" s="183"/>
      <c r="K50" s="145"/>
      <c r="L50" s="187"/>
      <c r="M50" s="183"/>
      <c r="N50" s="195">
        <f>SUMIF('Thu tiền học phí'!$A$9:$A$222,'Học viên- BC nợ học phí'!A50,SO_TIEN)</f>
        <v>0</v>
      </c>
      <c r="O50" s="202">
        <f t="shared" si="2"/>
        <v>0</v>
      </c>
    </row>
    <row r="51" spans="1:15" ht="12.75">
      <c r="A51" s="144" t="str">
        <f t="shared" si="1"/>
        <v>HS0045</v>
      </c>
      <c r="B51" s="203">
        <v>45</v>
      </c>
      <c r="C51" s="198" t="s">
        <v>90</v>
      </c>
      <c r="D51" s="146"/>
      <c r="E51" s="145"/>
      <c r="F51" s="186"/>
      <c r="G51" s="145"/>
      <c r="H51" s="183">
        <f t="shared" si="3"/>
        <v>0</v>
      </c>
      <c r="I51" s="145"/>
      <c r="J51" s="183"/>
      <c r="K51" s="145"/>
      <c r="L51" s="187"/>
      <c r="M51" s="183"/>
      <c r="N51" s="195">
        <f>SUMIF('Thu tiền học phí'!$A$9:$A$222,'Học viên- BC nợ học phí'!A51,SO_TIEN)</f>
        <v>0</v>
      </c>
      <c r="O51" s="202">
        <f t="shared" si="2"/>
        <v>0</v>
      </c>
    </row>
    <row r="52" spans="1:15" ht="12.75">
      <c r="A52" s="144" t="str">
        <f t="shared" si="1"/>
        <v>HS0046</v>
      </c>
      <c r="B52" s="185">
        <v>46</v>
      </c>
      <c r="C52" s="198" t="s">
        <v>91</v>
      </c>
      <c r="D52" s="146"/>
      <c r="E52" s="145"/>
      <c r="F52" s="186"/>
      <c r="G52" s="145"/>
      <c r="H52" s="183">
        <f t="shared" si="3"/>
        <v>0</v>
      </c>
      <c r="I52" s="145"/>
      <c r="J52" s="183"/>
      <c r="K52" s="145"/>
      <c r="L52" s="187"/>
      <c r="M52" s="183"/>
      <c r="N52" s="195">
        <f>SUMIF('Thu tiền học phí'!$A$9:$A$222,'Học viên- BC nợ học phí'!A52,SO_TIEN)</f>
        <v>0</v>
      </c>
      <c r="O52" s="202">
        <f t="shared" si="2"/>
        <v>0</v>
      </c>
    </row>
    <row r="53" spans="1:15" ht="12.75">
      <c r="A53" s="144" t="str">
        <f t="shared" si="1"/>
        <v>HS0047</v>
      </c>
      <c r="B53" s="203">
        <v>47</v>
      </c>
      <c r="C53" s="198" t="s">
        <v>92</v>
      </c>
      <c r="D53" s="146"/>
      <c r="E53" s="145"/>
      <c r="F53" s="186"/>
      <c r="G53" s="145"/>
      <c r="H53" s="183">
        <f t="shared" si="3"/>
        <v>0</v>
      </c>
      <c r="I53" s="145"/>
      <c r="J53" s="183"/>
      <c r="K53" s="145"/>
      <c r="L53" s="187"/>
      <c r="M53" s="183"/>
      <c r="N53" s="195">
        <f>SUMIF('Thu tiền học phí'!$A$9:$A$222,'Học viên- BC nợ học phí'!A53,SO_TIEN)</f>
        <v>0</v>
      </c>
      <c r="O53" s="202">
        <f t="shared" si="2"/>
        <v>0</v>
      </c>
    </row>
    <row r="54" spans="1:15" ht="12.75">
      <c r="A54" s="144" t="str">
        <f t="shared" si="1"/>
        <v>HS0048</v>
      </c>
      <c r="B54" s="185">
        <v>48</v>
      </c>
      <c r="C54" s="198" t="s">
        <v>93</v>
      </c>
      <c r="D54" s="146"/>
      <c r="E54" s="145"/>
      <c r="F54" s="186"/>
      <c r="G54" s="145"/>
      <c r="H54" s="183">
        <f t="shared" si="3"/>
        <v>0</v>
      </c>
      <c r="I54" s="145"/>
      <c r="J54" s="183"/>
      <c r="K54" s="145"/>
      <c r="L54" s="187"/>
      <c r="M54" s="183"/>
      <c r="N54" s="195">
        <f>SUMIF('Thu tiền học phí'!$A$9:$A$222,'Học viên- BC nợ học phí'!A54,SO_TIEN)</f>
        <v>0</v>
      </c>
      <c r="O54" s="202">
        <f t="shared" si="2"/>
        <v>0</v>
      </c>
    </row>
    <row r="55" spans="1:15" ht="12.75">
      <c r="A55" s="144" t="str">
        <f t="shared" si="1"/>
        <v>HS0049</v>
      </c>
      <c r="B55" s="203">
        <v>49</v>
      </c>
      <c r="C55" s="198" t="s">
        <v>94</v>
      </c>
      <c r="D55" s="146"/>
      <c r="E55" s="145"/>
      <c r="F55" s="186"/>
      <c r="G55" s="145"/>
      <c r="H55" s="183">
        <f t="shared" si="3"/>
        <v>0</v>
      </c>
      <c r="I55" s="145"/>
      <c r="J55" s="183"/>
      <c r="K55" s="145"/>
      <c r="L55" s="187"/>
      <c r="M55" s="183"/>
      <c r="N55" s="195">
        <f>SUMIF('Thu tiền học phí'!$A$9:$A$222,'Học viên- BC nợ học phí'!A55,SO_TIEN)</f>
        <v>0</v>
      </c>
      <c r="O55" s="202">
        <f t="shared" si="2"/>
        <v>0</v>
      </c>
    </row>
    <row r="56" spans="1:15" ht="13.5" thickBot="1">
      <c r="A56" s="144" t="str">
        <f t="shared" si="1"/>
        <v>HS0050</v>
      </c>
      <c r="B56" s="188">
        <v>50</v>
      </c>
      <c r="C56" s="199" t="s">
        <v>95</v>
      </c>
      <c r="D56" s="189"/>
      <c r="E56" s="190"/>
      <c r="F56" s="191"/>
      <c r="G56" s="190"/>
      <c r="H56" s="204">
        <f t="shared" si="3"/>
        <v>0</v>
      </c>
      <c r="I56" s="190"/>
      <c r="J56" s="204"/>
      <c r="K56" s="190"/>
      <c r="L56" s="192"/>
      <c r="M56" s="204"/>
      <c r="N56" s="204">
        <f>SUMIF('Thu tiền học phí'!$A$9:$A$222,'Học viên- BC nợ học phí'!A56,SO_TIEN)</f>
        <v>0</v>
      </c>
      <c r="O56" s="204">
        <f t="shared" si="2"/>
        <v>0</v>
      </c>
    </row>
  </sheetData>
  <sheetProtection/>
  <autoFilter ref="B6:O56"/>
  <mergeCells count="6">
    <mergeCell ref="K5:L5"/>
    <mergeCell ref="B1:C1"/>
    <mergeCell ref="B2:C2"/>
    <mergeCell ref="B3:C3"/>
    <mergeCell ref="D2:O2"/>
    <mergeCell ref="D3:O3"/>
  </mergeCells>
  <hyperlinks>
    <hyperlink ref="C4" r:id="rId1" display="123@gmail.com"/>
  </hyperlinks>
  <printOptions/>
  <pageMargins left="0.5" right="0.25" top="0.5" bottom="0.25" header="0.5" footer="0.3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23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" sqref="G4"/>
    </sheetView>
  </sheetViews>
  <sheetFormatPr defaultColWidth="9" defaultRowHeight="14.25"/>
  <cols>
    <col min="1" max="1" width="0" style="2" hidden="1" customWidth="1"/>
    <col min="2" max="2" width="3.69921875" style="130" customWidth="1"/>
    <col min="3" max="3" width="8" style="3" customWidth="1"/>
    <col min="4" max="4" width="9.09765625" style="8" customWidth="1"/>
    <col min="5" max="5" width="28.19921875" style="4" customWidth="1"/>
    <col min="6" max="6" width="9.59765625" style="3" customWidth="1"/>
    <col min="7" max="7" width="21.296875" style="148" customWidth="1"/>
    <col min="8" max="8" width="15.09765625" style="33" customWidth="1"/>
    <col min="9" max="9" width="14" style="5" customWidth="1"/>
    <col min="10" max="16384" width="9" style="2" customWidth="1"/>
  </cols>
  <sheetData>
    <row r="1" spans="2:9" s="220" customFormat="1" ht="12.75">
      <c r="B1" s="235" t="str">
        <f>'Danh sách lớp '!B1</f>
        <v>Trung tâm tiếng anh Cô </v>
      </c>
      <c r="C1" s="235"/>
      <c r="D1" s="235"/>
      <c r="E1" s="222"/>
      <c r="F1" s="221"/>
      <c r="G1" s="221"/>
      <c r="H1" s="223"/>
      <c r="I1" s="224"/>
    </row>
    <row r="2" spans="2:9" s="220" customFormat="1" ht="12.75">
      <c r="B2" s="235" t="str">
        <f>'Danh sách lớp '!B2</f>
        <v>Hà Nội</v>
      </c>
      <c r="C2" s="235"/>
      <c r="D2" s="235"/>
      <c r="E2" s="222"/>
      <c r="F2" s="221"/>
      <c r="G2" s="221"/>
      <c r="H2" s="223"/>
      <c r="I2" s="224"/>
    </row>
    <row r="3" spans="2:9" s="220" customFormat="1" ht="12.75">
      <c r="B3" s="235" t="str">
        <f>'Danh sách lớp '!B3</f>
        <v>Điện thoại : 123456</v>
      </c>
      <c r="C3" s="235"/>
      <c r="D3" s="235"/>
      <c r="E3" s="222"/>
      <c r="F3" s="221"/>
      <c r="G3" s="221"/>
      <c r="H3" s="223"/>
      <c r="I3" s="224"/>
    </row>
    <row r="4" spans="2:9" s="220" customFormat="1" ht="12.75">
      <c r="B4" s="235" t="str">
        <f>'Danh sách lớp '!B4</f>
        <v>Email: 123@gmail.com</v>
      </c>
      <c r="C4" s="235"/>
      <c r="D4" s="235"/>
      <c r="E4" s="222"/>
      <c r="F4" s="221"/>
      <c r="G4" s="221"/>
      <c r="H4" s="223"/>
      <c r="I4" s="224"/>
    </row>
    <row r="5" spans="2:9" ht="18.75" customHeight="1">
      <c r="B5" s="234" t="s">
        <v>147</v>
      </c>
      <c r="C5" s="234"/>
      <c r="D5" s="234"/>
      <c r="E5" s="234"/>
      <c r="F5" s="234"/>
      <c r="G5" s="234"/>
      <c r="H5" s="234"/>
      <c r="I5" s="234"/>
    </row>
    <row r="6" spans="2:9" s="37" customFormat="1" ht="18.75" customHeight="1" thickBot="1">
      <c r="B6" s="130"/>
      <c r="C6" s="172"/>
      <c r="D6" s="173"/>
      <c r="E6" s="174"/>
      <c r="F6" s="175"/>
      <c r="G6" s="177" t="s">
        <v>148</v>
      </c>
      <c r="H6" s="178">
        <f>SUBTOTAL(9,SO_TIEN)</f>
        <v>27700000</v>
      </c>
      <c r="I6" s="176"/>
    </row>
    <row r="7" spans="2:9" ht="18" customHeight="1" thickBot="1">
      <c r="B7" s="212" t="s">
        <v>34</v>
      </c>
      <c r="C7" s="212" t="s">
        <v>137</v>
      </c>
      <c r="D7" s="212"/>
      <c r="E7" s="212" t="s">
        <v>6</v>
      </c>
      <c r="F7" s="212" t="s">
        <v>138</v>
      </c>
      <c r="G7" s="212"/>
      <c r="H7" s="212" t="s">
        <v>35</v>
      </c>
      <c r="I7" s="212" t="s">
        <v>142</v>
      </c>
    </row>
    <row r="8" spans="2:9" ht="20.25" customHeight="1" thickBot="1">
      <c r="B8" s="212"/>
      <c r="C8" s="212" t="s">
        <v>38</v>
      </c>
      <c r="D8" s="212" t="s">
        <v>39</v>
      </c>
      <c r="E8" s="212"/>
      <c r="F8" s="212" t="s">
        <v>139</v>
      </c>
      <c r="G8" s="212" t="s">
        <v>140</v>
      </c>
      <c r="H8" s="212" t="s">
        <v>2</v>
      </c>
      <c r="I8" s="212"/>
    </row>
    <row r="9" spans="1:9" s="36" customFormat="1" ht="15" customHeight="1">
      <c r="A9" s="36" t="str">
        <f>F9&amp;I9</f>
        <v>HS0001Toán 7</v>
      </c>
      <c r="B9" s="127">
        <f>IF(C9&gt;0,1,0)</f>
        <v>1</v>
      </c>
      <c r="C9" s="78" t="s">
        <v>152</v>
      </c>
      <c r="D9" s="83">
        <v>43891</v>
      </c>
      <c r="E9" s="79" t="s">
        <v>141</v>
      </c>
      <c r="F9" s="80" t="s">
        <v>55</v>
      </c>
      <c r="G9" s="147" t="str">
        <f>VLOOKUP(F9,'Học viên- BC nợ học phí'!$C$7:$D$56,2,0)</f>
        <v>Phạm Hà Linh</v>
      </c>
      <c r="H9" s="81">
        <v>5000000</v>
      </c>
      <c r="I9" s="120" t="s">
        <v>114</v>
      </c>
    </row>
    <row r="10" spans="1:9" s="36" customFormat="1" ht="15" customHeight="1">
      <c r="A10" s="36" t="str">
        <f aca="true" t="shared" si="0" ref="A10:A73">F10&amp;I10</f>
        <v>HS0001Toán 7</v>
      </c>
      <c r="B10" s="128">
        <f>IF(AND($C10&gt;0)*($C10&lt;&gt;$C9),MAX($B$9:$B9)+1,"")</f>
        <v>2</v>
      </c>
      <c r="C10" s="78" t="s">
        <v>151</v>
      </c>
      <c r="D10" s="83">
        <v>43905</v>
      </c>
      <c r="E10" s="79" t="s">
        <v>141</v>
      </c>
      <c r="F10" s="80" t="s">
        <v>55</v>
      </c>
      <c r="G10" s="147" t="str">
        <f>VLOOKUP(F10,'Học viên- BC nợ học phí'!$C$7:$D$56,2,0)</f>
        <v>Phạm Hà Linh</v>
      </c>
      <c r="H10" s="81">
        <v>1500000</v>
      </c>
      <c r="I10" s="121" t="s">
        <v>114</v>
      </c>
    </row>
    <row r="11" spans="1:9" s="36" customFormat="1" ht="15" customHeight="1">
      <c r="A11" s="36" t="str">
        <f t="shared" si="0"/>
        <v>HS0001Toán 7</v>
      </c>
      <c r="B11" s="128">
        <v>3</v>
      </c>
      <c r="C11" s="78" t="s">
        <v>153</v>
      </c>
      <c r="D11" s="83">
        <v>43910</v>
      </c>
      <c r="E11" s="122" t="s">
        <v>141</v>
      </c>
      <c r="F11" s="80" t="s">
        <v>55</v>
      </c>
      <c r="G11" s="147" t="str">
        <f>VLOOKUP(F11,'Học viên- BC nợ học phí'!$C$7:$D$56,2,0)</f>
        <v>Phạm Hà Linh</v>
      </c>
      <c r="H11" s="81">
        <v>2000000</v>
      </c>
      <c r="I11" s="121" t="s">
        <v>114</v>
      </c>
    </row>
    <row r="12" spans="1:9" s="36" customFormat="1" ht="37.5" customHeight="1">
      <c r="A12" s="36" t="str">
        <f t="shared" si="0"/>
        <v>HS0001Tiếng Anh 5</v>
      </c>
      <c r="B12" s="128">
        <f>IF(AND($C12&gt;0)*($C12&lt;&gt;$C11),MAX($B$9:$B11)+1,"")</f>
        <v>4</v>
      </c>
      <c r="C12" s="78" t="s">
        <v>154</v>
      </c>
      <c r="D12" s="83">
        <v>43905</v>
      </c>
      <c r="E12" s="193" t="s">
        <v>96</v>
      </c>
      <c r="F12" s="197" t="s">
        <v>55</v>
      </c>
      <c r="G12" s="147" t="str">
        <f>VLOOKUP(F12,'Học viên- BC nợ học phí'!$C$7:$D$56,2,0)</f>
        <v>Phạm Hà Linh</v>
      </c>
      <c r="H12" s="81">
        <v>1500000</v>
      </c>
      <c r="I12" s="146" t="s">
        <v>106</v>
      </c>
    </row>
    <row r="13" spans="1:9" s="36" customFormat="1" ht="15" customHeight="1">
      <c r="A13" s="36" t="str">
        <f t="shared" si="0"/>
        <v>HS0002Tiếng Anh 4</v>
      </c>
      <c r="B13" s="128">
        <f>IF(AND($C13&gt;0)*($C13&lt;&gt;$C12),MAX($B$9:$B12)+1,"")</f>
        <v>5</v>
      </c>
      <c r="C13" s="78" t="s">
        <v>155</v>
      </c>
      <c r="D13" s="83">
        <v>43931</v>
      </c>
      <c r="E13" s="146" t="s">
        <v>97</v>
      </c>
      <c r="F13" s="198" t="s">
        <v>56</v>
      </c>
      <c r="G13" s="147" t="str">
        <f>VLOOKUP(F13,'Học viên- BC nợ học phí'!$C$7:$D$56,2,0)</f>
        <v>Phạm Diệu Linh</v>
      </c>
      <c r="H13" s="81">
        <v>2500000</v>
      </c>
      <c r="I13" s="146" t="s">
        <v>110</v>
      </c>
    </row>
    <row r="14" spans="1:9" s="36" customFormat="1" ht="15" customHeight="1">
      <c r="A14" s="36" t="str">
        <f t="shared" si="0"/>
        <v>HS0003Tiếng Anh 2</v>
      </c>
      <c r="B14" s="128">
        <f>IF(AND($C14&gt;0)*($C14&lt;&gt;$C13),MAX($B$9:$B13)+1,"")</f>
        <v>6</v>
      </c>
      <c r="C14" s="78" t="s">
        <v>156</v>
      </c>
      <c r="D14" s="83">
        <v>43931</v>
      </c>
      <c r="E14" s="146" t="s">
        <v>98</v>
      </c>
      <c r="F14" s="198" t="s">
        <v>57</v>
      </c>
      <c r="G14" s="147" t="str">
        <f>VLOOKUP(F14,'Học viên- BC nợ học phí'!$C$7:$D$56,2,0)</f>
        <v>Đỗ Quân Anh</v>
      </c>
      <c r="H14" s="81">
        <v>3200000</v>
      </c>
      <c r="I14" s="146" t="s">
        <v>112</v>
      </c>
    </row>
    <row r="15" spans="1:9" s="36" customFormat="1" ht="33" customHeight="1">
      <c r="A15" s="36" t="str">
        <f t="shared" si="0"/>
        <v>HS0004Tiếng Anh 5</v>
      </c>
      <c r="B15" s="128">
        <f>IF(AND($C15&gt;0)*($C15&lt;&gt;$C14),MAX($B$9:$B14)+1,"")</f>
        <v>7</v>
      </c>
      <c r="C15" s="78" t="s">
        <v>157</v>
      </c>
      <c r="D15" s="83">
        <v>43931</v>
      </c>
      <c r="E15" s="146" t="s">
        <v>99</v>
      </c>
      <c r="F15" s="198" t="s">
        <v>58</v>
      </c>
      <c r="G15" s="147" t="str">
        <f>VLOOKUP(F15,'Học viên- BC nợ học phí'!$C$7:$D$56,2,0)</f>
        <v>Đỗ Thanh Phong</v>
      </c>
      <c r="H15" s="81">
        <v>1400000</v>
      </c>
      <c r="I15" s="146" t="s">
        <v>106</v>
      </c>
    </row>
    <row r="16" spans="1:9" s="36" customFormat="1" ht="15" customHeight="1">
      <c r="A16" s="36" t="str">
        <f t="shared" si="0"/>
        <v>HS0005Tiếng Anh 4</v>
      </c>
      <c r="B16" s="128">
        <f>IF(AND($C16&gt;0)*($C16&lt;&gt;$C15),MAX($B$9:$B15)+1,"")</f>
        <v>8</v>
      </c>
      <c r="C16" s="78" t="s">
        <v>158</v>
      </c>
      <c r="D16" s="83">
        <v>43931</v>
      </c>
      <c r="E16" s="146" t="s">
        <v>100</v>
      </c>
      <c r="F16" s="198" t="s">
        <v>59</v>
      </c>
      <c r="G16" s="147" t="str">
        <f>VLOOKUP(F16,'Học viên- BC nợ học phí'!$C$7:$D$56,2,0)</f>
        <v>Tạ Quang Minh</v>
      </c>
      <c r="H16" s="81">
        <v>1600000</v>
      </c>
      <c r="I16" s="146" t="s">
        <v>110</v>
      </c>
    </row>
    <row r="17" spans="1:9" s="36" customFormat="1" ht="15" customHeight="1">
      <c r="A17" s="36" t="str">
        <f t="shared" si="0"/>
        <v>HS0006Tiếng Anh 2</v>
      </c>
      <c r="B17" s="128">
        <f>IF(AND($C17&gt;0)*($C17&lt;&gt;$C16),MAX($B$9:$B16)+1,"")</f>
        <v>9</v>
      </c>
      <c r="C17" s="78" t="s">
        <v>159</v>
      </c>
      <c r="D17" s="83">
        <v>43931</v>
      </c>
      <c r="E17" s="146" t="s">
        <v>101</v>
      </c>
      <c r="F17" s="198" t="s">
        <v>60</v>
      </c>
      <c r="G17" s="147" t="str">
        <f>VLOOKUP(F17,'Học viên- BC nợ học phí'!$C$7:$D$56,2,0)</f>
        <v>Trương Minh Đức</v>
      </c>
      <c r="H17" s="81">
        <v>2000000</v>
      </c>
      <c r="I17" s="146" t="s">
        <v>112</v>
      </c>
    </row>
    <row r="18" spans="1:9" s="36" customFormat="1" ht="30.75" customHeight="1">
      <c r="A18" s="36" t="str">
        <f t="shared" si="0"/>
        <v>HS0007Tiếng Anh 5</v>
      </c>
      <c r="B18" s="128">
        <f>IF(AND($C18&gt;0)*($C18&lt;&gt;$C17),MAX($B$9:$B17)+1,"")</f>
        <v>10</v>
      </c>
      <c r="C18" s="78" t="s">
        <v>160</v>
      </c>
      <c r="D18" s="83">
        <v>43936</v>
      </c>
      <c r="E18" s="146" t="s">
        <v>102</v>
      </c>
      <c r="F18" s="198" t="s">
        <v>61</v>
      </c>
      <c r="G18" s="147" t="str">
        <f>VLOOKUP(F18,'Học viên- BC nợ học phí'!$C$7:$D$56,2,0)</f>
        <v>Trần Khánh Chi</v>
      </c>
      <c r="H18" s="81">
        <v>5000000</v>
      </c>
      <c r="I18" s="146" t="s">
        <v>106</v>
      </c>
    </row>
    <row r="19" spans="1:9" s="36" customFormat="1" ht="15" customHeight="1">
      <c r="A19" s="36" t="str">
        <f t="shared" si="0"/>
        <v>HS0001Tiếng Anh 4</v>
      </c>
      <c r="B19" s="128">
        <f>IF(AND($C19&gt;0)*($C19&lt;&gt;$C18),MAX($B$9:$B18)+1,"")</f>
        <v>11</v>
      </c>
      <c r="C19" s="78" t="s">
        <v>161</v>
      </c>
      <c r="D19" s="83">
        <v>43941</v>
      </c>
      <c r="E19" s="193" t="s">
        <v>96</v>
      </c>
      <c r="F19" s="197" t="s">
        <v>55</v>
      </c>
      <c r="G19" s="147" t="str">
        <f>VLOOKUP(F19,'Học viên- BC nợ học phí'!$C$7:$D$56,2,0)</f>
        <v>Phạm Hà Linh</v>
      </c>
      <c r="H19" s="81">
        <v>2000000</v>
      </c>
      <c r="I19" s="146" t="s">
        <v>110</v>
      </c>
    </row>
    <row r="20" spans="1:9" s="36" customFormat="1" ht="15" customHeight="1">
      <c r="A20" s="36">
        <f t="shared" si="0"/>
      </c>
      <c r="B20" s="128">
        <f>IF(AND($C20&gt;0)*($C20&lt;&gt;$C19),MAX($B$9:$B19)+1,"")</f>
      </c>
      <c r="C20" s="78"/>
      <c r="D20" s="83"/>
      <c r="E20" s="79"/>
      <c r="F20" s="80"/>
      <c r="G20" s="147"/>
      <c r="H20" s="81"/>
      <c r="I20" s="121"/>
    </row>
    <row r="21" spans="1:9" s="36" customFormat="1" ht="15" customHeight="1">
      <c r="A21" s="36">
        <f t="shared" si="0"/>
      </c>
      <c r="B21" s="128">
        <f>IF(AND($C21&gt;0)*($C21&lt;&gt;$C20),MAX($B$9:$B20)+1,"")</f>
      </c>
      <c r="C21" s="78"/>
      <c r="D21" s="83"/>
      <c r="E21" s="79"/>
      <c r="F21" s="80"/>
      <c r="G21" s="147"/>
      <c r="H21" s="81"/>
      <c r="I21" s="121"/>
    </row>
    <row r="22" spans="1:9" s="36" customFormat="1" ht="15" customHeight="1">
      <c r="A22" s="36">
        <f t="shared" si="0"/>
      </c>
      <c r="B22" s="128">
        <f>IF(AND($C22&gt;0)*($C22&lt;&gt;$C21),MAX($B$9:$B21)+1,"")</f>
      </c>
      <c r="C22" s="78"/>
      <c r="D22" s="83"/>
      <c r="E22" s="79"/>
      <c r="F22" s="80"/>
      <c r="G22" s="147" t="e">
        <f>VLOOKUP(F22,'Học viên- BC nợ học phí'!$C$7:$D$56,2,0)</f>
        <v>#N/A</v>
      </c>
      <c r="H22" s="81"/>
      <c r="I22" s="121"/>
    </row>
    <row r="23" spans="1:9" s="36" customFormat="1" ht="15" customHeight="1">
      <c r="A23" s="36">
        <f t="shared" si="0"/>
      </c>
      <c r="B23" s="128">
        <f>IF(AND($C23&gt;0)*($C23&lt;&gt;$C22),MAX($B$9:$B22)+1,"")</f>
      </c>
      <c r="C23" s="78"/>
      <c r="D23" s="83"/>
      <c r="E23" s="79"/>
      <c r="F23" s="80"/>
      <c r="G23" s="147" t="e">
        <f>VLOOKUP(F23,'Học viên- BC nợ học phí'!$C$7:$D$56,2,0)</f>
        <v>#N/A</v>
      </c>
      <c r="H23" s="81"/>
      <c r="I23" s="121"/>
    </row>
    <row r="24" spans="1:9" s="36" customFormat="1" ht="15" customHeight="1">
      <c r="A24" s="36">
        <f t="shared" si="0"/>
      </c>
      <c r="B24" s="128">
        <f>IF(AND($C24&gt;0)*($C24&lt;&gt;$C23),MAX($B$9:$B23)+1,"")</f>
      </c>
      <c r="C24" s="78"/>
      <c r="D24" s="83"/>
      <c r="E24" s="79"/>
      <c r="F24" s="80"/>
      <c r="G24" s="147" t="e">
        <f>VLOOKUP(F24,'Học viên- BC nợ học phí'!$C$7:$D$56,2,0)</f>
        <v>#N/A</v>
      </c>
      <c r="H24" s="81"/>
      <c r="I24" s="121"/>
    </row>
    <row r="25" spans="1:9" s="36" customFormat="1" ht="15" customHeight="1">
      <c r="A25" s="36">
        <f t="shared" si="0"/>
      </c>
      <c r="B25" s="128">
        <f>IF(AND($C25&gt;0)*($C25&lt;&gt;$C24),MAX($B$9:$B24)+1,"")</f>
      </c>
      <c r="C25" s="78"/>
      <c r="D25" s="83"/>
      <c r="E25" s="79"/>
      <c r="F25" s="80"/>
      <c r="G25" s="147" t="e">
        <f>VLOOKUP(F25,'Học viên- BC nợ học phí'!$C$7:$D$56,2,0)</f>
        <v>#N/A</v>
      </c>
      <c r="H25" s="81"/>
      <c r="I25" s="121"/>
    </row>
    <row r="26" spans="1:9" s="36" customFormat="1" ht="15" customHeight="1">
      <c r="A26" s="36">
        <f t="shared" si="0"/>
      </c>
      <c r="B26" s="128">
        <f>IF(AND($C26&gt;0)*($C26&lt;&gt;$C25),MAX($B$9:$B25)+1,"")</f>
      </c>
      <c r="C26" s="78"/>
      <c r="D26" s="83"/>
      <c r="E26" s="79"/>
      <c r="F26" s="80"/>
      <c r="G26" s="147" t="e">
        <f>VLOOKUP(F26,'Học viên- BC nợ học phí'!$C$7:$D$56,2,0)</f>
        <v>#N/A</v>
      </c>
      <c r="H26" s="81"/>
      <c r="I26" s="121"/>
    </row>
    <row r="27" spans="1:9" s="36" customFormat="1" ht="15" customHeight="1">
      <c r="A27" s="36">
        <f t="shared" si="0"/>
      </c>
      <c r="B27" s="128">
        <f>IF(AND($C27&gt;0)*($C27&lt;&gt;$C26),MAX($B$9:$B26)+1,"")</f>
      </c>
      <c r="C27" s="78"/>
      <c r="D27" s="83"/>
      <c r="E27" s="79"/>
      <c r="F27" s="80"/>
      <c r="G27" s="147" t="e">
        <f>VLOOKUP(F27,'Học viên- BC nợ học phí'!$C$7:$D$56,2,0)</f>
        <v>#N/A</v>
      </c>
      <c r="H27" s="81"/>
      <c r="I27" s="121"/>
    </row>
    <row r="28" spans="1:9" s="36" customFormat="1" ht="15" customHeight="1">
      <c r="A28" s="36">
        <f t="shared" si="0"/>
      </c>
      <c r="B28" s="128">
        <f>IF(AND($C28&gt;0)*($C28&lt;&gt;$C27),MAX($B$9:$B27)+1,"")</f>
      </c>
      <c r="C28" s="78"/>
      <c r="D28" s="83"/>
      <c r="E28" s="79"/>
      <c r="F28" s="80"/>
      <c r="G28" s="147" t="e">
        <f>VLOOKUP(F28,'Học viên- BC nợ học phí'!$C$7:$D$56,2,0)</f>
        <v>#N/A</v>
      </c>
      <c r="H28" s="81"/>
      <c r="I28" s="121"/>
    </row>
    <row r="29" spans="1:9" s="36" customFormat="1" ht="15" customHeight="1">
      <c r="A29" s="36">
        <f t="shared" si="0"/>
      </c>
      <c r="B29" s="128">
        <f>IF(AND($C29&gt;0)*($C29&lt;&gt;$C28),MAX($B$9:$B28)+1,"")</f>
      </c>
      <c r="C29" s="78"/>
      <c r="D29" s="83"/>
      <c r="E29" s="79"/>
      <c r="F29" s="80"/>
      <c r="G29" s="147" t="e">
        <f>VLOOKUP(F29,'Học viên- BC nợ học phí'!$C$7:$D$56,2,0)</f>
        <v>#N/A</v>
      </c>
      <c r="H29" s="81"/>
      <c r="I29" s="121"/>
    </row>
    <row r="30" spans="1:9" s="36" customFormat="1" ht="15" customHeight="1">
      <c r="A30" s="36">
        <f t="shared" si="0"/>
      </c>
      <c r="B30" s="128">
        <f>IF(AND($C30&gt;0)*($C30&lt;&gt;$C29),MAX($B$9:$B29)+1,"")</f>
      </c>
      <c r="C30" s="78"/>
      <c r="D30" s="83"/>
      <c r="E30" s="79"/>
      <c r="F30" s="80"/>
      <c r="G30" s="147" t="e">
        <f>VLOOKUP(F30,'Học viên- BC nợ học phí'!$C$7:$D$56,2,0)</f>
        <v>#N/A</v>
      </c>
      <c r="H30" s="81"/>
      <c r="I30" s="121"/>
    </row>
    <row r="31" spans="1:9" s="36" customFormat="1" ht="15" customHeight="1">
      <c r="A31" s="36">
        <f t="shared" si="0"/>
      </c>
      <c r="B31" s="128">
        <f>IF(AND($C31&gt;0)*($C31&lt;&gt;$C30),MAX($B$9:$B30)+1,"")</f>
      </c>
      <c r="C31" s="78"/>
      <c r="D31" s="83"/>
      <c r="E31" s="79"/>
      <c r="F31" s="80"/>
      <c r="G31" s="147" t="e">
        <f>VLOOKUP(F31,'Học viên- BC nợ học phí'!$C$7:$D$56,2,0)</f>
        <v>#N/A</v>
      </c>
      <c r="H31" s="81"/>
      <c r="I31" s="121"/>
    </row>
    <row r="32" spans="1:9" s="36" customFormat="1" ht="15" customHeight="1">
      <c r="A32" s="36">
        <f t="shared" si="0"/>
      </c>
      <c r="B32" s="128">
        <f>IF(AND($C32&gt;0)*($C32&lt;&gt;$C31),MAX($B$9:$B31)+1,"")</f>
      </c>
      <c r="C32" s="78"/>
      <c r="D32" s="83"/>
      <c r="E32" s="79"/>
      <c r="F32" s="80"/>
      <c r="G32" s="147" t="e">
        <f>VLOOKUP(F32,'Học viên- BC nợ học phí'!$C$7:$D$56,2,0)</f>
        <v>#N/A</v>
      </c>
      <c r="H32" s="81"/>
      <c r="I32" s="121"/>
    </row>
    <row r="33" spans="1:9" s="36" customFormat="1" ht="15" customHeight="1">
      <c r="A33" s="36">
        <f t="shared" si="0"/>
      </c>
      <c r="B33" s="128">
        <f>IF(AND($C33&gt;0)*($C33&lt;&gt;$C32),MAX($B$9:$B32)+1,"")</f>
      </c>
      <c r="C33" s="78"/>
      <c r="D33" s="83"/>
      <c r="E33" s="79"/>
      <c r="F33" s="80"/>
      <c r="G33" s="147" t="e">
        <f>VLOOKUP(F33,'Học viên- BC nợ học phí'!$C$7:$D$56,2,0)</f>
        <v>#N/A</v>
      </c>
      <c r="H33" s="81"/>
      <c r="I33" s="121"/>
    </row>
    <row r="34" spans="1:9" s="36" customFormat="1" ht="15" customHeight="1">
      <c r="A34" s="36">
        <f t="shared" si="0"/>
      </c>
      <c r="B34" s="128"/>
      <c r="C34" s="78"/>
      <c r="D34" s="83"/>
      <c r="E34" s="79"/>
      <c r="F34" s="80"/>
      <c r="G34" s="147" t="e">
        <f>VLOOKUP(F34,'Học viên- BC nợ học phí'!$C$7:$D$56,2,0)</f>
        <v>#N/A</v>
      </c>
      <c r="H34" s="81"/>
      <c r="I34" s="121"/>
    </row>
    <row r="35" spans="1:9" s="36" customFormat="1" ht="15" customHeight="1">
      <c r="A35" s="36">
        <f t="shared" si="0"/>
      </c>
      <c r="B35" s="128">
        <f>IF(AND($C35&gt;0)*($C35&lt;&gt;$C33),MAX($B$9:$B33)+1,"")</f>
      </c>
      <c r="C35" s="78"/>
      <c r="D35" s="83"/>
      <c r="E35" s="79"/>
      <c r="F35" s="80"/>
      <c r="G35" s="147" t="e">
        <f>VLOOKUP(F35,'Học viên- BC nợ học phí'!$C$7:$D$56,2,0)</f>
        <v>#N/A</v>
      </c>
      <c r="H35" s="81"/>
      <c r="I35" s="121"/>
    </row>
    <row r="36" spans="1:9" s="36" customFormat="1" ht="15" customHeight="1">
      <c r="A36" s="36">
        <f t="shared" si="0"/>
      </c>
      <c r="B36" s="128">
        <f>IF(AND($C36&gt;0)*($C36&lt;&gt;$C35),MAX($B$9:$B35)+1,"")</f>
      </c>
      <c r="C36" s="78"/>
      <c r="D36" s="83"/>
      <c r="E36" s="79"/>
      <c r="F36" s="80"/>
      <c r="G36" s="147" t="e">
        <f>VLOOKUP(F36,'Học viên- BC nợ học phí'!$C$7:$D$56,2,0)</f>
        <v>#N/A</v>
      </c>
      <c r="H36" s="81"/>
      <c r="I36" s="121"/>
    </row>
    <row r="37" spans="1:9" s="36" customFormat="1" ht="15" customHeight="1">
      <c r="A37" s="36">
        <f t="shared" si="0"/>
      </c>
      <c r="B37" s="128">
        <f>IF(AND($C37&gt;0)*($C37&lt;&gt;$C36),MAX($B$9:$B36)+1,"")</f>
      </c>
      <c r="C37" s="78"/>
      <c r="D37" s="83"/>
      <c r="E37" s="79"/>
      <c r="F37" s="80"/>
      <c r="G37" s="147" t="e">
        <f>VLOOKUP(F37,'Học viên- BC nợ học phí'!$C$7:$D$56,2,0)</f>
        <v>#N/A</v>
      </c>
      <c r="H37" s="81"/>
      <c r="I37" s="121"/>
    </row>
    <row r="38" spans="1:9" s="36" customFormat="1" ht="15" customHeight="1">
      <c r="A38" s="36">
        <f t="shared" si="0"/>
      </c>
      <c r="B38" s="128">
        <f>IF(AND($C38&gt;0)*($C38&lt;&gt;$C37),MAX($B$9:$B37)+1,"")</f>
      </c>
      <c r="C38" s="78"/>
      <c r="D38" s="83"/>
      <c r="E38" s="79"/>
      <c r="F38" s="80"/>
      <c r="G38" s="147" t="e">
        <f>VLOOKUP(F38,'Học viên- BC nợ học phí'!$C$7:$D$56,2,0)</f>
        <v>#N/A</v>
      </c>
      <c r="H38" s="81"/>
      <c r="I38" s="121"/>
    </row>
    <row r="39" spans="1:9" s="36" customFormat="1" ht="15" customHeight="1">
      <c r="A39" s="36">
        <f t="shared" si="0"/>
      </c>
      <c r="B39" s="128">
        <f>IF(AND($C39&gt;0)*($C39&lt;&gt;$C38),MAX($B$9:$B38)+1,"")</f>
      </c>
      <c r="C39" s="78"/>
      <c r="D39" s="83"/>
      <c r="E39" s="131"/>
      <c r="F39" s="80"/>
      <c r="G39" s="147" t="e">
        <f>VLOOKUP(F39,'Học viên- BC nợ học phí'!$C$7:$D$56,2,0)</f>
        <v>#N/A</v>
      </c>
      <c r="H39" s="81"/>
      <c r="I39" s="121"/>
    </row>
    <row r="40" spans="1:9" s="36" customFormat="1" ht="15" customHeight="1">
      <c r="A40" s="36">
        <f t="shared" si="0"/>
      </c>
      <c r="B40" s="128">
        <f>IF(AND($C40&gt;0)*($C40&lt;&gt;$C39),MAX($B$9:$B39)+1,"")</f>
      </c>
      <c r="C40" s="78"/>
      <c r="D40" s="83"/>
      <c r="E40" s="79"/>
      <c r="F40" s="80"/>
      <c r="G40" s="147" t="e">
        <f>VLOOKUP(F40,'Học viên- BC nợ học phí'!$C$7:$D$56,2,0)</f>
        <v>#N/A</v>
      </c>
      <c r="H40" s="81"/>
      <c r="I40" s="121"/>
    </row>
    <row r="41" spans="1:9" s="36" customFormat="1" ht="15" customHeight="1">
      <c r="A41" s="36">
        <f t="shared" si="0"/>
      </c>
      <c r="B41" s="128">
        <f>IF(AND($C41&gt;0)*($C41&lt;&gt;$C40),MAX($B$9:$B40)+1,"")</f>
      </c>
      <c r="C41" s="78"/>
      <c r="D41" s="83"/>
      <c r="E41" s="131"/>
      <c r="F41" s="80"/>
      <c r="G41" s="147" t="e">
        <f>VLOOKUP(F41,'Học viên- BC nợ học phí'!$C$7:$D$56,2,0)</f>
        <v>#N/A</v>
      </c>
      <c r="H41" s="81"/>
      <c r="I41" s="121"/>
    </row>
    <row r="42" spans="1:9" s="36" customFormat="1" ht="15" customHeight="1">
      <c r="A42" s="36">
        <f t="shared" si="0"/>
      </c>
      <c r="B42" s="128">
        <f>IF(AND($C42&gt;0)*($C42&lt;&gt;$C41),MAX($B$9:$B41)+1,"")</f>
      </c>
      <c r="C42" s="78"/>
      <c r="D42" s="83"/>
      <c r="E42" s="131"/>
      <c r="F42" s="80"/>
      <c r="G42" s="147" t="e">
        <f>VLOOKUP(F42,'Học viên- BC nợ học phí'!$C$7:$D$56,2,0)</f>
        <v>#N/A</v>
      </c>
      <c r="H42" s="81"/>
      <c r="I42" s="121"/>
    </row>
    <row r="43" spans="1:9" s="36" customFormat="1" ht="29.25" customHeight="1">
      <c r="A43" s="36">
        <f t="shared" si="0"/>
      </c>
      <c r="B43" s="128">
        <f>IF(AND($C43&gt;0)*($C43&lt;&gt;$C42),MAX($B$9:$B42)+1,"")</f>
      </c>
      <c r="C43" s="78"/>
      <c r="D43" s="83"/>
      <c r="E43" s="79"/>
      <c r="F43" s="80"/>
      <c r="G43" s="147" t="e">
        <f>VLOOKUP(F43,'Học viên- BC nợ học phí'!$C$7:$D$56,2,0)</f>
        <v>#N/A</v>
      </c>
      <c r="H43" s="137"/>
      <c r="I43" s="121"/>
    </row>
    <row r="44" spans="1:9" s="36" customFormat="1" ht="30.75" customHeight="1">
      <c r="A44" s="36">
        <f t="shared" si="0"/>
      </c>
      <c r="B44" s="128">
        <f>IF(AND($C44&gt;0)*($C44&lt;&gt;$C43),MAX($B$9:$B43)+1,"")</f>
      </c>
      <c r="C44" s="78"/>
      <c r="D44" s="83"/>
      <c r="E44" s="79"/>
      <c r="F44" s="80"/>
      <c r="G44" s="147" t="e">
        <f>VLOOKUP(F44,'Học viên- BC nợ học phí'!$C$7:$D$56,2,0)</f>
        <v>#N/A</v>
      </c>
      <c r="H44" s="139"/>
      <c r="I44" s="121"/>
    </row>
    <row r="45" spans="1:9" s="36" customFormat="1" ht="15" customHeight="1">
      <c r="A45" s="36">
        <f t="shared" si="0"/>
      </c>
      <c r="B45" s="128">
        <f>IF(AND($C45&gt;0)*($C45&lt;&gt;$C44),MAX($B$9:$B44)+1,"")</f>
      </c>
      <c r="C45" s="78"/>
      <c r="D45" s="83"/>
      <c r="E45" s="131"/>
      <c r="F45" s="80"/>
      <c r="G45" s="147" t="e">
        <f>VLOOKUP(F45,'Học viên- BC nợ học phí'!$C$7:$D$56,2,0)</f>
        <v>#N/A</v>
      </c>
      <c r="H45" s="91"/>
      <c r="I45" s="82"/>
    </row>
    <row r="46" spans="1:9" s="36" customFormat="1" ht="15" customHeight="1">
      <c r="A46" s="36">
        <f t="shared" si="0"/>
      </c>
      <c r="B46" s="128">
        <f>IF(AND($C46&gt;0)*($C46&lt;&gt;$C45),MAX($B$9:$B45)+1,"")</f>
      </c>
      <c r="C46" s="78"/>
      <c r="D46" s="83"/>
      <c r="E46" s="79"/>
      <c r="F46" s="80"/>
      <c r="G46" s="147" t="e">
        <f>VLOOKUP(F46,'Học viên- BC nợ học phí'!$C$7:$D$56,2,0)</f>
        <v>#N/A</v>
      </c>
      <c r="H46" s="91"/>
      <c r="I46" s="82"/>
    </row>
    <row r="47" spans="1:9" s="36" customFormat="1" ht="15" customHeight="1">
      <c r="A47" s="36">
        <f t="shared" si="0"/>
      </c>
      <c r="B47" s="128">
        <f>IF(AND($C47&gt;0)*($C47&lt;&gt;$C46),MAX($B$9:$B46)+1,"")</f>
      </c>
      <c r="C47" s="78"/>
      <c r="D47" s="83"/>
      <c r="E47" s="131"/>
      <c r="F47" s="80"/>
      <c r="G47" s="147" t="e">
        <f>VLOOKUP(F47,'Học viên- BC nợ học phí'!$C$7:$D$56,2,0)</f>
        <v>#N/A</v>
      </c>
      <c r="H47" s="91"/>
      <c r="I47" s="82"/>
    </row>
    <row r="48" spans="1:9" s="36" customFormat="1" ht="33" customHeight="1">
      <c r="A48" s="36">
        <f t="shared" si="0"/>
      </c>
      <c r="B48" s="128">
        <f>IF(AND($C48&gt;0)*($C48&lt;&gt;$C47),MAX($B$9:$B47)+1,"")</f>
      </c>
      <c r="C48" s="78"/>
      <c r="D48" s="83"/>
      <c r="E48" s="79"/>
      <c r="F48" s="80"/>
      <c r="G48" s="147" t="e">
        <f>VLOOKUP(F48,'Học viên- BC nợ học phí'!$C$7:$D$56,2,0)</f>
        <v>#N/A</v>
      </c>
      <c r="H48" s="91"/>
      <c r="I48" s="82"/>
    </row>
    <row r="49" spans="1:9" s="36" customFormat="1" ht="15" customHeight="1">
      <c r="A49" s="36">
        <f t="shared" si="0"/>
      </c>
      <c r="B49" s="128">
        <f>IF(AND($C49&gt;0)*($C49&lt;&gt;$C48),MAX($B$9:$B48)+1,"")</f>
      </c>
      <c r="C49" s="78"/>
      <c r="D49" s="83"/>
      <c r="E49" s="131"/>
      <c r="F49" s="80"/>
      <c r="G49" s="147" t="e">
        <f>VLOOKUP(F49,'Học viên- BC nợ học phí'!$C$7:$D$56,2,0)</f>
        <v>#N/A</v>
      </c>
      <c r="H49" s="91"/>
      <c r="I49" s="82"/>
    </row>
    <row r="50" spans="1:9" s="36" customFormat="1" ht="15" customHeight="1">
      <c r="A50" s="36">
        <f t="shared" si="0"/>
      </c>
      <c r="B50" s="128">
        <f>IF(AND($C50&gt;0)*($C50&lt;&gt;$C49),MAX($B$9:$B49)+1,"")</f>
      </c>
      <c r="C50" s="78"/>
      <c r="D50" s="83"/>
      <c r="E50" s="79"/>
      <c r="F50" s="80"/>
      <c r="G50" s="147" t="e">
        <f>VLOOKUP(F50,'Học viên- BC nợ học phí'!$C$7:$D$56,2,0)</f>
        <v>#N/A</v>
      </c>
      <c r="H50" s="91"/>
      <c r="I50" s="82"/>
    </row>
    <row r="51" spans="1:9" s="36" customFormat="1" ht="15" customHeight="1">
      <c r="A51" s="36">
        <f t="shared" si="0"/>
      </c>
      <c r="B51" s="128">
        <f>IF(AND($C51&gt;0)*($C51&lt;&gt;$C50),MAX($B$9:$B50)+1,"")</f>
      </c>
      <c r="C51" s="78"/>
      <c r="D51" s="83"/>
      <c r="E51" s="131"/>
      <c r="F51" s="80"/>
      <c r="G51" s="147" t="e">
        <f>VLOOKUP(F51,'Học viên- BC nợ học phí'!$C$7:$D$56,2,0)</f>
        <v>#N/A</v>
      </c>
      <c r="H51" s="91"/>
      <c r="I51" s="82"/>
    </row>
    <row r="52" spans="1:9" s="36" customFormat="1" ht="15" customHeight="1">
      <c r="A52" s="36">
        <f t="shared" si="0"/>
      </c>
      <c r="B52" s="128">
        <f>IF(AND($C52&gt;0)*($C52&lt;&gt;$C51),MAX($B$9:$B51)+1,"")</f>
      </c>
      <c r="C52" s="78"/>
      <c r="D52" s="83"/>
      <c r="E52" s="79"/>
      <c r="F52" s="80"/>
      <c r="G52" s="147" t="e">
        <f>VLOOKUP(F52,'Học viên- BC nợ học phí'!$C$7:$D$56,2,0)</f>
        <v>#N/A</v>
      </c>
      <c r="H52" s="91"/>
      <c r="I52" s="82"/>
    </row>
    <row r="53" spans="1:9" s="36" customFormat="1" ht="27" customHeight="1">
      <c r="A53" s="36">
        <f t="shared" si="0"/>
      </c>
      <c r="B53" s="128">
        <f>IF(AND($C53&gt;0)*($C53&lt;&gt;$C52),MAX($B$9:$B52)+1,"")</f>
      </c>
      <c r="C53" s="78"/>
      <c r="D53" s="83"/>
      <c r="E53" s="79"/>
      <c r="F53" s="80"/>
      <c r="G53" s="147" t="e">
        <f>VLOOKUP(F53,'Học viên- BC nợ học phí'!$C$7:$D$56,2,0)</f>
        <v>#N/A</v>
      </c>
      <c r="H53" s="91"/>
      <c r="I53" s="82"/>
    </row>
    <row r="54" spans="1:9" s="36" customFormat="1" ht="27" customHeight="1">
      <c r="A54" s="36">
        <f t="shared" si="0"/>
      </c>
      <c r="B54" s="128">
        <f>IF(AND($C54&gt;0)*($C54&lt;&gt;$C53),MAX($B$9:$B53)+1,"")</f>
      </c>
      <c r="C54" s="78"/>
      <c r="D54" s="83"/>
      <c r="E54" s="79"/>
      <c r="F54" s="80"/>
      <c r="G54" s="147" t="e">
        <f>VLOOKUP(F54,'Học viên- BC nợ học phí'!$C$7:$D$56,2,0)</f>
        <v>#N/A</v>
      </c>
      <c r="H54" s="91"/>
      <c r="I54" s="82"/>
    </row>
    <row r="55" spans="1:9" s="36" customFormat="1" ht="15" customHeight="1">
      <c r="A55" s="36">
        <f t="shared" si="0"/>
      </c>
      <c r="B55" s="128">
        <f>IF(AND($C55&gt;0)*($C55&lt;&gt;$C54),MAX($B$9:$B54)+1,"")</f>
      </c>
      <c r="C55" s="78"/>
      <c r="D55" s="83"/>
      <c r="E55" s="131"/>
      <c r="F55" s="80"/>
      <c r="G55" s="147" t="e">
        <f>VLOOKUP(F55,'Học viên- BC nợ học phí'!$C$7:$D$56,2,0)</f>
        <v>#N/A</v>
      </c>
      <c r="H55" s="91"/>
      <c r="I55" s="82"/>
    </row>
    <row r="56" spans="1:9" s="36" customFormat="1" ht="15" customHeight="1">
      <c r="A56" s="36">
        <f t="shared" si="0"/>
      </c>
      <c r="B56" s="128">
        <f>IF(AND($C56&gt;0)*($C56&lt;&gt;$C55),MAX($B$9:$B55)+1,"")</f>
      </c>
      <c r="C56" s="78"/>
      <c r="D56" s="83"/>
      <c r="E56" s="131"/>
      <c r="F56" s="80"/>
      <c r="G56" s="147" t="e">
        <f>VLOOKUP(F56,'Học viên- BC nợ học phí'!$C$7:$D$56,2,0)</f>
        <v>#N/A</v>
      </c>
      <c r="H56" s="91"/>
      <c r="I56" s="82"/>
    </row>
    <row r="57" spans="1:9" s="36" customFormat="1" ht="15" customHeight="1">
      <c r="A57" s="36">
        <f t="shared" si="0"/>
      </c>
      <c r="B57" s="128">
        <f>IF(AND($C57&gt;0)*($C57&lt;&gt;$C56),MAX($B$9:$B56)+1,"")</f>
      </c>
      <c r="C57" s="78"/>
      <c r="D57" s="83"/>
      <c r="E57" s="131"/>
      <c r="F57" s="80"/>
      <c r="G57" s="147" t="e">
        <f>VLOOKUP(F57,'Học viên- BC nợ học phí'!$C$7:$D$56,2,0)</f>
        <v>#N/A</v>
      </c>
      <c r="H57" s="91"/>
      <c r="I57" s="82"/>
    </row>
    <row r="58" spans="1:9" s="36" customFormat="1" ht="15" customHeight="1">
      <c r="A58" s="36">
        <f t="shared" si="0"/>
      </c>
      <c r="B58" s="128">
        <f>IF(AND($C58&gt;0)*($C58&lt;&gt;$C57),MAX($B$9:$B57)+1,"")</f>
      </c>
      <c r="C58" s="78"/>
      <c r="D58" s="83"/>
      <c r="E58" s="131"/>
      <c r="F58" s="80"/>
      <c r="G58" s="147" t="e">
        <f>VLOOKUP(F58,'Học viên- BC nợ học phí'!$C$7:$D$56,2,0)</f>
        <v>#N/A</v>
      </c>
      <c r="H58" s="91"/>
      <c r="I58" s="82"/>
    </row>
    <row r="59" spans="1:9" s="36" customFormat="1" ht="15" customHeight="1">
      <c r="A59" s="36">
        <f t="shared" si="0"/>
      </c>
      <c r="B59" s="128">
        <f>IF(AND($C59&gt;0)*($C59&lt;&gt;$C58),MAX($B$9:$B58)+1,"")</f>
      </c>
      <c r="C59" s="123"/>
      <c r="D59" s="83"/>
      <c r="E59" s="131"/>
      <c r="F59" s="80"/>
      <c r="G59" s="147" t="e">
        <f>VLOOKUP(F59,'Học viên- BC nợ học phí'!$C$7:$D$56,2,0)</f>
        <v>#N/A</v>
      </c>
      <c r="H59" s="91"/>
      <c r="I59" s="82"/>
    </row>
    <row r="60" spans="1:9" s="36" customFormat="1" ht="15" customHeight="1">
      <c r="A60" s="36">
        <f t="shared" si="0"/>
      </c>
      <c r="B60" s="128">
        <f>IF(AND($C60&gt;0)*($C60&lt;&gt;$C59),MAX($B$9:$B59)+1,"")</f>
      </c>
      <c r="C60" s="123"/>
      <c r="D60" s="83"/>
      <c r="E60" s="131"/>
      <c r="F60" s="80"/>
      <c r="G60" s="147" t="e">
        <f>VLOOKUP(F60,'Học viên- BC nợ học phí'!$C$7:$D$56,2,0)</f>
        <v>#N/A</v>
      </c>
      <c r="H60" s="91"/>
      <c r="I60" s="82"/>
    </row>
    <row r="61" spans="1:9" s="36" customFormat="1" ht="15" customHeight="1">
      <c r="A61" s="36">
        <f t="shared" si="0"/>
      </c>
      <c r="B61" s="128">
        <f>IF(AND($C61&gt;0)*($C61&lt;&gt;$C60),MAX($B$9:$B60)+1,"")</f>
      </c>
      <c r="C61" s="123"/>
      <c r="D61" s="83"/>
      <c r="E61" s="131"/>
      <c r="F61" s="80"/>
      <c r="G61" s="147" t="e">
        <f>VLOOKUP(F61,'Học viên- BC nợ học phí'!$C$7:$D$56,2,0)</f>
        <v>#N/A</v>
      </c>
      <c r="H61" s="91"/>
      <c r="I61" s="82"/>
    </row>
    <row r="62" spans="1:9" s="36" customFormat="1" ht="15" customHeight="1">
      <c r="A62" s="36">
        <f t="shared" si="0"/>
      </c>
      <c r="B62" s="128">
        <f>IF(AND($C62&gt;0)*($C62&lt;&gt;$C61),MAX($B$9:$B61)+1,"")</f>
      </c>
      <c r="C62" s="123"/>
      <c r="D62" s="83"/>
      <c r="E62" s="131"/>
      <c r="F62" s="80"/>
      <c r="G62" s="147" t="e">
        <f>VLOOKUP(F62,'Học viên- BC nợ học phí'!$C$7:$D$56,2,0)</f>
        <v>#N/A</v>
      </c>
      <c r="H62" s="91"/>
      <c r="I62" s="82"/>
    </row>
    <row r="63" spans="1:9" s="36" customFormat="1" ht="15" customHeight="1">
      <c r="A63" s="36">
        <f t="shared" si="0"/>
      </c>
      <c r="B63" s="128">
        <f>IF(AND($C63&gt;0)*($C63&lt;&gt;$C62),MAX($B$9:$B62)+1,"")</f>
      </c>
      <c r="C63" s="123"/>
      <c r="D63" s="83"/>
      <c r="E63" s="131"/>
      <c r="F63" s="80"/>
      <c r="G63" s="147" t="e">
        <f>VLOOKUP(F63,'Học viên- BC nợ học phí'!$C$7:$D$56,2,0)</f>
        <v>#N/A</v>
      </c>
      <c r="H63" s="91"/>
      <c r="I63" s="82"/>
    </row>
    <row r="64" spans="1:9" s="36" customFormat="1" ht="15" customHeight="1">
      <c r="A64" s="36">
        <f t="shared" si="0"/>
      </c>
      <c r="B64" s="128">
        <f>IF(AND($C64&gt;0)*($C64&lt;&gt;$C63),MAX($B$9:$B63)+1,"")</f>
      </c>
      <c r="C64" s="123"/>
      <c r="D64" s="83"/>
      <c r="E64" s="131"/>
      <c r="F64" s="80"/>
      <c r="G64" s="147" t="e">
        <f>VLOOKUP(F64,'Học viên- BC nợ học phí'!$C$7:$D$56,2,0)</f>
        <v>#N/A</v>
      </c>
      <c r="H64" s="91"/>
      <c r="I64" s="82"/>
    </row>
    <row r="65" spans="1:9" s="36" customFormat="1" ht="15" customHeight="1">
      <c r="A65" s="36">
        <f t="shared" si="0"/>
      </c>
      <c r="B65" s="128">
        <f>IF(AND($C65&gt;0)*($C65&lt;&gt;$C64),MAX($B$9:$B64)+1,"")</f>
      </c>
      <c r="C65" s="123"/>
      <c r="D65" s="83"/>
      <c r="E65" s="131"/>
      <c r="F65" s="80"/>
      <c r="G65" s="147" t="e">
        <f>VLOOKUP(F65,'Học viên- BC nợ học phí'!$C$7:$D$56,2,0)</f>
        <v>#N/A</v>
      </c>
      <c r="H65" s="91"/>
      <c r="I65" s="82"/>
    </row>
    <row r="66" spans="1:9" s="36" customFormat="1" ht="15" customHeight="1">
      <c r="A66" s="36">
        <f t="shared" si="0"/>
      </c>
      <c r="B66" s="128"/>
      <c r="C66" s="123"/>
      <c r="D66" s="83"/>
      <c r="E66" s="131"/>
      <c r="F66" s="80"/>
      <c r="G66" s="147" t="e">
        <f>VLOOKUP(F66,'Học viên- BC nợ học phí'!$C$7:$D$56,2,0)</f>
        <v>#N/A</v>
      </c>
      <c r="H66" s="91"/>
      <c r="I66" s="82"/>
    </row>
    <row r="67" spans="1:9" s="36" customFormat="1" ht="15" customHeight="1">
      <c r="A67" s="36">
        <f t="shared" si="0"/>
      </c>
      <c r="B67" s="128">
        <f>IF(AND($C67&gt;0)*($C67&lt;&gt;$C65),MAX($B$9:$B65)+1,"")</f>
      </c>
      <c r="C67" s="123"/>
      <c r="D67" s="83"/>
      <c r="E67" s="131"/>
      <c r="F67" s="80"/>
      <c r="G67" s="147" t="e">
        <f>VLOOKUP(F67,'Học viên- BC nợ học phí'!$C$7:$D$56,2,0)</f>
        <v>#N/A</v>
      </c>
      <c r="H67" s="91"/>
      <c r="I67" s="82"/>
    </row>
    <row r="68" spans="1:9" s="36" customFormat="1" ht="15" customHeight="1">
      <c r="A68" s="36">
        <f t="shared" si="0"/>
      </c>
      <c r="B68" s="128">
        <f>IF(AND($C68&gt;0)*($C68&lt;&gt;$C67),MAX($B$9:$B67)+1,"")</f>
      </c>
      <c r="C68" s="123"/>
      <c r="D68" s="83"/>
      <c r="E68" s="131"/>
      <c r="F68" s="80"/>
      <c r="G68" s="147" t="e">
        <f>VLOOKUP(F68,'Học viên- BC nợ học phí'!$C$7:$D$56,2,0)</f>
        <v>#N/A</v>
      </c>
      <c r="H68" s="91"/>
      <c r="I68" s="82"/>
    </row>
    <row r="69" spans="1:9" s="36" customFormat="1" ht="15" customHeight="1">
      <c r="A69" s="36">
        <f t="shared" si="0"/>
      </c>
      <c r="B69" s="128">
        <f>IF(AND($C69&gt;0)*($C69&lt;&gt;$C68),MAX($B$9:$B68)+1,"")</f>
      </c>
      <c r="C69" s="123"/>
      <c r="D69" s="83"/>
      <c r="E69" s="131"/>
      <c r="F69" s="80"/>
      <c r="G69" s="147" t="e">
        <f>VLOOKUP(F69,'Học viên- BC nợ học phí'!$C$7:$D$56,2,0)</f>
        <v>#N/A</v>
      </c>
      <c r="H69" s="91"/>
      <c r="I69" s="82"/>
    </row>
    <row r="70" spans="1:9" s="36" customFormat="1" ht="15" customHeight="1">
      <c r="A70" s="36">
        <f t="shared" si="0"/>
      </c>
      <c r="B70" s="128">
        <f>IF(AND($C70&gt;0)*($C70&lt;&gt;$C69),MAX($B$9:$B69)+1,"")</f>
      </c>
      <c r="C70" s="123"/>
      <c r="D70" s="83"/>
      <c r="E70" s="131"/>
      <c r="F70" s="80"/>
      <c r="G70" s="147" t="e">
        <f>VLOOKUP(F70,'Học viên- BC nợ học phí'!$C$7:$D$56,2,0)</f>
        <v>#N/A</v>
      </c>
      <c r="H70" s="91"/>
      <c r="I70" s="82"/>
    </row>
    <row r="71" spans="1:9" s="36" customFormat="1" ht="15" customHeight="1">
      <c r="A71" s="36">
        <f t="shared" si="0"/>
      </c>
      <c r="B71" s="128">
        <f>IF(AND($C71&gt;0)*($C71&lt;&gt;$C70),MAX($B$9:$B70)+1,"")</f>
      </c>
      <c r="C71" s="123"/>
      <c r="D71" s="83"/>
      <c r="E71" s="131"/>
      <c r="F71" s="80"/>
      <c r="G71" s="147" t="e">
        <f>VLOOKUP(F71,'Học viên- BC nợ học phí'!$C$7:$D$56,2,0)</f>
        <v>#N/A</v>
      </c>
      <c r="H71" s="91"/>
      <c r="I71" s="82"/>
    </row>
    <row r="72" spans="1:9" s="36" customFormat="1" ht="15" customHeight="1">
      <c r="A72" s="36">
        <f t="shared" si="0"/>
      </c>
      <c r="B72" s="128">
        <f>IF(AND($C72&gt;0)*($C72&lt;&gt;$C71),MAX($B$9:$B71)+1,"")</f>
      </c>
      <c r="C72" s="123"/>
      <c r="D72" s="83"/>
      <c r="E72" s="131"/>
      <c r="F72" s="80"/>
      <c r="G72" s="147" t="e">
        <f>VLOOKUP(F72,'Học viên- BC nợ học phí'!$C$7:$D$56,2,0)</f>
        <v>#N/A</v>
      </c>
      <c r="H72" s="91"/>
      <c r="I72" s="82"/>
    </row>
    <row r="73" spans="1:9" s="36" customFormat="1" ht="15" customHeight="1">
      <c r="A73" s="36">
        <f t="shared" si="0"/>
      </c>
      <c r="B73" s="128">
        <f>IF(AND($C73&gt;0)*($C73&lt;&gt;$C72),MAX($B$9:$B72)+1,"")</f>
      </c>
      <c r="C73" s="123"/>
      <c r="D73" s="83"/>
      <c r="E73" s="131"/>
      <c r="F73" s="80"/>
      <c r="G73" s="147" t="e">
        <f>VLOOKUP(F73,'Học viên- BC nợ học phí'!$C$7:$D$56,2,0)</f>
        <v>#N/A</v>
      </c>
      <c r="H73" s="91"/>
      <c r="I73" s="82"/>
    </row>
    <row r="74" spans="1:9" s="36" customFormat="1" ht="15" customHeight="1">
      <c r="A74" s="36">
        <f aca="true" t="shared" si="1" ref="A74:A137">F74&amp;I74</f>
      </c>
      <c r="B74" s="179">
        <f>IF(AND($C74&gt;0)*($C74&lt;&gt;$C73),MAX($B$9:$B73)+1,"")</f>
      </c>
      <c r="C74" s="123"/>
      <c r="D74" s="180"/>
      <c r="E74" s="181"/>
      <c r="F74" s="80"/>
      <c r="G74" s="147" t="e">
        <f>VLOOKUP(F74,'Học viên- BC nợ học phí'!$C$7:$D$56,2,0)</f>
        <v>#N/A</v>
      </c>
      <c r="H74" s="91"/>
      <c r="I74" s="82"/>
    </row>
    <row r="75" spans="1:9" s="36" customFormat="1" ht="15" customHeight="1">
      <c r="A75" s="36">
        <f t="shared" si="1"/>
      </c>
      <c r="B75" s="179">
        <f>IF(AND($C75&gt;0)*($C75&lt;&gt;$C74),MAX($B$9:$B74)+1,"")</f>
      </c>
      <c r="C75" s="123"/>
      <c r="D75" s="180"/>
      <c r="E75" s="181"/>
      <c r="F75" s="80"/>
      <c r="G75" s="147" t="e">
        <f>VLOOKUP(F75,'Học viên- BC nợ học phí'!$C$7:$D$56,2,0)</f>
        <v>#N/A</v>
      </c>
      <c r="H75" s="124"/>
      <c r="I75" s="82"/>
    </row>
    <row r="76" spans="1:9" s="36" customFormat="1" ht="15" customHeight="1">
      <c r="A76" s="36">
        <f t="shared" si="1"/>
      </c>
      <c r="B76" s="128">
        <f>IF(AND($C76&gt;0)*($C76&lt;&gt;$C75),MAX($B$9:$B75)+1,"")</f>
      </c>
      <c r="C76" s="123"/>
      <c r="D76" s="83"/>
      <c r="E76" s="122"/>
      <c r="F76" s="80"/>
      <c r="G76" s="147" t="e">
        <f>VLOOKUP(F76,'Học viên- BC nợ học phí'!$C$7:$D$56,2,0)</f>
        <v>#N/A</v>
      </c>
      <c r="H76" s="91"/>
      <c r="I76" s="82"/>
    </row>
    <row r="77" spans="1:9" s="36" customFormat="1" ht="15" customHeight="1">
      <c r="A77" s="36">
        <f t="shared" si="1"/>
      </c>
      <c r="B77" s="128">
        <f>IF(AND($C77&gt;0)*($C77&lt;&gt;$C76),MAX($B$9:$B76)+1,"")</f>
      </c>
      <c r="C77" s="123"/>
      <c r="D77" s="83"/>
      <c r="E77" s="79"/>
      <c r="F77" s="80"/>
      <c r="G77" s="147" t="e">
        <f>VLOOKUP(F77,'Học viên- BC nợ học phí'!$C$7:$D$56,2,0)</f>
        <v>#N/A</v>
      </c>
      <c r="H77" s="91"/>
      <c r="I77" s="82"/>
    </row>
    <row r="78" spans="1:9" s="36" customFormat="1" ht="15" customHeight="1">
      <c r="A78" s="36">
        <f t="shared" si="1"/>
      </c>
      <c r="B78" s="128">
        <f>IF(AND($C78&gt;0)*($C78&lt;&gt;$C77),MAX($B$9:$B77)+1,"")</f>
      </c>
      <c r="C78" s="123"/>
      <c r="D78" s="83"/>
      <c r="E78" s="131"/>
      <c r="F78" s="80"/>
      <c r="G78" s="147" t="e">
        <f>VLOOKUP(F78,'Học viên- BC nợ học phí'!$C$7:$D$56,2,0)</f>
        <v>#N/A</v>
      </c>
      <c r="H78" s="91"/>
      <c r="I78" s="82"/>
    </row>
    <row r="79" spans="1:9" s="36" customFormat="1" ht="15" customHeight="1">
      <c r="A79" s="36">
        <f t="shared" si="1"/>
      </c>
      <c r="B79" s="128">
        <f>IF(AND($C79&gt;0)*($C79&lt;&gt;$C78),MAX($B$9:$B78)+1,"")</f>
      </c>
      <c r="C79" s="123"/>
      <c r="D79" s="83"/>
      <c r="E79" s="131"/>
      <c r="F79" s="80"/>
      <c r="G79" s="147" t="e">
        <f>VLOOKUP(F79,'Học viên- BC nợ học phí'!$C$7:$D$56,2,0)</f>
        <v>#N/A</v>
      </c>
      <c r="H79" s="91"/>
      <c r="I79" s="82"/>
    </row>
    <row r="80" spans="1:9" s="36" customFormat="1" ht="15" customHeight="1">
      <c r="A80" s="36">
        <f t="shared" si="1"/>
      </c>
      <c r="B80" s="128">
        <f>IF(AND($C80&gt;0)*($C80&lt;&gt;$C79),MAX($B$9:$B79)+1,"")</f>
      </c>
      <c r="C80" s="123"/>
      <c r="D80" s="83"/>
      <c r="E80" s="131"/>
      <c r="F80" s="80"/>
      <c r="G80" s="147" t="e">
        <f>VLOOKUP(F80,'Học viên- BC nợ học phí'!$C$7:$D$56,2,0)</f>
        <v>#N/A</v>
      </c>
      <c r="H80" s="91"/>
      <c r="I80" s="82"/>
    </row>
    <row r="81" spans="1:9" s="36" customFormat="1" ht="15" customHeight="1">
      <c r="A81" s="36">
        <f t="shared" si="1"/>
      </c>
      <c r="B81" s="128">
        <f>IF(AND($C81&gt;0)*($C81&lt;&gt;$C80),MAX($B$9:$B80)+1,"")</f>
      </c>
      <c r="C81" s="123"/>
      <c r="D81" s="83"/>
      <c r="E81" s="131"/>
      <c r="F81" s="80"/>
      <c r="G81" s="147" t="e">
        <f>VLOOKUP(F81,'Học viên- BC nợ học phí'!$C$7:$D$56,2,0)</f>
        <v>#N/A</v>
      </c>
      <c r="H81" s="91"/>
      <c r="I81" s="82"/>
    </row>
    <row r="82" spans="1:9" s="36" customFormat="1" ht="15" customHeight="1">
      <c r="A82" s="36">
        <f t="shared" si="1"/>
      </c>
      <c r="B82" s="128">
        <f>IF(AND($C82&gt;0)*($C82&lt;&gt;$C81),MAX($B$9:$B81)+1,"")</f>
      </c>
      <c r="C82" s="123"/>
      <c r="D82" s="83"/>
      <c r="E82" s="131"/>
      <c r="F82" s="80"/>
      <c r="G82" s="147" t="e">
        <f>VLOOKUP(F82,'Học viên- BC nợ học phí'!$C$7:$D$56,2,0)</f>
        <v>#N/A</v>
      </c>
      <c r="H82" s="91"/>
      <c r="I82" s="82"/>
    </row>
    <row r="83" spans="1:9" s="36" customFormat="1" ht="15" customHeight="1">
      <c r="A83" s="36">
        <f t="shared" si="1"/>
      </c>
      <c r="B83" s="128">
        <f>IF(AND($C83&gt;0)*($C83&lt;&gt;$C82),MAX($B$9:$B82)+1,"")</f>
      </c>
      <c r="C83" s="123"/>
      <c r="D83" s="83"/>
      <c r="E83" s="131"/>
      <c r="F83" s="80"/>
      <c r="G83" s="147" t="e">
        <f>VLOOKUP(F83,'Học viên- BC nợ học phí'!$C$7:$D$56,2,0)</f>
        <v>#N/A</v>
      </c>
      <c r="H83" s="91"/>
      <c r="I83" s="82"/>
    </row>
    <row r="84" spans="1:9" s="36" customFormat="1" ht="15" customHeight="1">
      <c r="A84" s="36">
        <f t="shared" si="1"/>
      </c>
      <c r="B84" s="128">
        <f>IF(AND($C84&gt;0)*($C84&lt;&gt;$C83),MAX($B$9:$B83)+1,"")</f>
      </c>
      <c r="C84" s="123"/>
      <c r="D84" s="83"/>
      <c r="E84" s="131"/>
      <c r="F84" s="80"/>
      <c r="G84" s="147" t="e">
        <f>VLOOKUP(F84,'Học viên- BC nợ học phí'!$C$7:$D$56,2,0)</f>
        <v>#N/A</v>
      </c>
      <c r="H84" s="91"/>
      <c r="I84" s="82"/>
    </row>
    <row r="85" spans="1:9" s="36" customFormat="1" ht="15" customHeight="1">
      <c r="A85" s="36">
        <f t="shared" si="1"/>
      </c>
      <c r="B85" s="128">
        <f>IF(AND($C85&gt;0)*($C85&lt;&gt;$C84),MAX($B$9:$B84)+1,"")</f>
      </c>
      <c r="C85" s="123"/>
      <c r="D85" s="83"/>
      <c r="E85" s="131"/>
      <c r="F85" s="80"/>
      <c r="G85" s="147" t="e">
        <f>VLOOKUP(F85,'Học viên- BC nợ học phí'!$C$7:$D$56,2,0)</f>
        <v>#N/A</v>
      </c>
      <c r="H85" s="91"/>
      <c r="I85" s="82"/>
    </row>
    <row r="86" spans="1:9" s="36" customFormat="1" ht="15" customHeight="1">
      <c r="A86" s="36">
        <f t="shared" si="1"/>
      </c>
      <c r="B86" s="128">
        <f>IF(AND($C86&gt;0)*($C86&lt;&gt;$C85),MAX($B$9:$B85)+1,"")</f>
      </c>
      <c r="C86" s="123"/>
      <c r="D86" s="83"/>
      <c r="E86" s="131"/>
      <c r="F86" s="80"/>
      <c r="G86" s="147" t="e">
        <f>VLOOKUP(F86,'Học viên- BC nợ học phí'!$C$7:$D$56,2,0)</f>
        <v>#N/A</v>
      </c>
      <c r="H86" s="91"/>
      <c r="I86" s="82"/>
    </row>
    <row r="87" spans="1:9" s="36" customFormat="1" ht="15" customHeight="1">
      <c r="A87" s="36">
        <f t="shared" si="1"/>
      </c>
      <c r="B87" s="128">
        <f>IF(AND($C87&gt;0)*($C87&lt;&gt;$C86),MAX($B$9:$B86)+1,"")</f>
      </c>
      <c r="C87" s="123"/>
      <c r="D87" s="83"/>
      <c r="E87" s="131"/>
      <c r="F87" s="80"/>
      <c r="G87" s="147" t="e">
        <f>VLOOKUP(F87,'Học viên- BC nợ học phí'!$C$7:$D$56,2,0)</f>
        <v>#N/A</v>
      </c>
      <c r="H87" s="91"/>
      <c r="I87" s="82"/>
    </row>
    <row r="88" spans="1:9" s="36" customFormat="1" ht="15" customHeight="1">
      <c r="A88" s="36">
        <f t="shared" si="1"/>
      </c>
      <c r="B88" s="128">
        <f>IF(AND($C88&gt;0)*($C88&lt;&gt;$C87),MAX($B$9:$B87)+1,"")</f>
      </c>
      <c r="C88" s="123"/>
      <c r="D88" s="83"/>
      <c r="E88" s="131"/>
      <c r="F88" s="80"/>
      <c r="G88" s="147" t="e">
        <f>VLOOKUP(F88,'Học viên- BC nợ học phí'!$C$7:$D$56,2,0)</f>
        <v>#N/A</v>
      </c>
      <c r="H88" s="91"/>
      <c r="I88" s="82"/>
    </row>
    <row r="89" spans="1:9" s="36" customFormat="1" ht="15" customHeight="1">
      <c r="A89" s="36">
        <f t="shared" si="1"/>
      </c>
      <c r="B89" s="128">
        <f>IF(AND($C89&gt;0)*($C89&lt;&gt;$C88),MAX($B$9:$B88)+1,"")</f>
      </c>
      <c r="C89" s="123"/>
      <c r="D89" s="83"/>
      <c r="E89" s="131"/>
      <c r="F89" s="80"/>
      <c r="G89" s="147" t="e">
        <f>VLOOKUP(F89,'Học viên- BC nợ học phí'!$C$7:$D$56,2,0)</f>
        <v>#N/A</v>
      </c>
      <c r="H89" s="91"/>
      <c r="I89" s="82"/>
    </row>
    <row r="90" spans="1:9" s="36" customFormat="1" ht="15" customHeight="1">
      <c r="A90" s="36">
        <f t="shared" si="1"/>
      </c>
      <c r="B90" s="128">
        <f>IF(AND($C90&gt;0)*($C90&lt;&gt;$C89),MAX($B$9:$B89)+1,"")</f>
      </c>
      <c r="C90" s="123"/>
      <c r="D90" s="83"/>
      <c r="E90" s="131"/>
      <c r="F90" s="80"/>
      <c r="G90" s="147" t="e">
        <f>VLOOKUP(F90,'Học viên- BC nợ học phí'!$C$7:$D$56,2,0)</f>
        <v>#N/A</v>
      </c>
      <c r="H90" s="91"/>
      <c r="I90" s="82"/>
    </row>
    <row r="91" spans="1:9" s="36" customFormat="1" ht="15" customHeight="1">
      <c r="A91" s="36">
        <f t="shared" si="1"/>
      </c>
      <c r="B91" s="128">
        <f>IF(AND($C91&gt;0)*($C91&lt;&gt;$C90),MAX($B$9:$B90)+1,"")</f>
      </c>
      <c r="C91" s="123"/>
      <c r="D91" s="83"/>
      <c r="E91" s="131"/>
      <c r="F91" s="80"/>
      <c r="G91" s="147" t="e">
        <f>VLOOKUP(F91,'Học viên- BC nợ học phí'!$C$7:$D$56,2,0)</f>
        <v>#N/A</v>
      </c>
      <c r="H91" s="91"/>
      <c r="I91" s="82"/>
    </row>
    <row r="92" spans="1:9" s="36" customFormat="1" ht="15" customHeight="1">
      <c r="A92" s="36">
        <f t="shared" si="1"/>
      </c>
      <c r="B92" s="128">
        <f>IF(AND($C92&gt;0)*($C92&lt;&gt;$C91),MAX($B$9:$B91)+1,"")</f>
      </c>
      <c r="C92" s="123"/>
      <c r="D92" s="83"/>
      <c r="E92" s="131"/>
      <c r="F92" s="80"/>
      <c r="G92" s="147" t="e">
        <f>VLOOKUP(F92,'Học viên- BC nợ học phí'!$C$7:$D$56,2,0)</f>
        <v>#N/A</v>
      </c>
      <c r="H92" s="91"/>
      <c r="I92" s="82"/>
    </row>
    <row r="93" spans="1:9" s="36" customFormat="1" ht="15" customHeight="1">
      <c r="A93" s="36">
        <f t="shared" si="1"/>
      </c>
      <c r="B93" s="128">
        <f>IF(AND($C93&gt;0)*($C93&lt;&gt;$C92),MAX($B$9:$B92)+1,"")</f>
      </c>
      <c r="C93" s="123"/>
      <c r="D93" s="83"/>
      <c r="E93" s="131"/>
      <c r="F93" s="80"/>
      <c r="G93" s="147" t="e">
        <f>VLOOKUP(F93,'Học viên- BC nợ học phí'!$C$7:$D$56,2,0)</f>
        <v>#N/A</v>
      </c>
      <c r="H93" s="91"/>
      <c r="I93" s="82"/>
    </row>
    <row r="94" spans="1:9" s="36" customFormat="1" ht="15" customHeight="1">
      <c r="A94" s="36">
        <f t="shared" si="1"/>
      </c>
      <c r="B94" s="128">
        <f>IF(AND($C94&gt;0)*($C94&lt;&gt;$C93),MAX($B$9:$B93)+1,"")</f>
      </c>
      <c r="C94" s="123"/>
      <c r="D94" s="83"/>
      <c r="E94" s="131"/>
      <c r="F94" s="80"/>
      <c r="G94" s="147" t="e">
        <f>VLOOKUP(F94,'Học viên- BC nợ học phí'!$C$7:$D$56,2,0)</f>
        <v>#N/A</v>
      </c>
      <c r="H94" s="91"/>
      <c r="I94" s="82"/>
    </row>
    <row r="95" spans="1:9" s="36" customFormat="1" ht="15" customHeight="1">
      <c r="A95" s="36">
        <f t="shared" si="1"/>
      </c>
      <c r="B95" s="128">
        <f>IF(AND($C95&gt;0)*($C95&lt;&gt;$C94),MAX($B$9:$B94)+1,"")</f>
      </c>
      <c r="C95" s="78"/>
      <c r="D95" s="83"/>
      <c r="E95" s="79"/>
      <c r="F95" s="80"/>
      <c r="G95" s="147" t="e">
        <f>VLOOKUP(F95,'Học viên- BC nợ học phí'!$C$7:$D$56,2,0)</f>
        <v>#N/A</v>
      </c>
      <c r="H95" s="91"/>
      <c r="I95" s="82"/>
    </row>
    <row r="96" spans="1:9" s="36" customFormat="1" ht="15" customHeight="1">
      <c r="A96" s="36">
        <f t="shared" si="1"/>
      </c>
      <c r="B96" s="128">
        <f>IF(AND($C96&gt;0)*($C96&lt;&gt;$C95),MAX($B$9:$B95)+1,"")</f>
      </c>
      <c r="C96" s="78"/>
      <c r="D96" s="83"/>
      <c r="E96" s="79"/>
      <c r="F96" s="80"/>
      <c r="G96" s="147" t="e">
        <f>VLOOKUP(F96,'Học viên- BC nợ học phí'!$C$7:$D$56,2,0)</f>
        <v>#N/A</v>
      </c>
      <c r="H96" s="124"/>
      <c r="I96" s="82"/>
    </row>
    <row r="97" spans="1:9" s="36" customFormat="1" ht="15" customHeight="1">
      <c r="A97" s="36">
        <f t="shared" si="1"/>
      </c>
      <c r="B97" s="128">
        <f>IF(AND($C97&gt;0)*($C97&lt;&gt;$C96),MAX($B$9:$B96)+1,"")</f>
      </c>
      <c r="C97" s="78"/>
      <c r="D97" s="83"/>
      <c r="E97" s="122"/>
      <c r="F97" s="80"/>
      <c r="G97" s="147" t="e">
        <f>VLOOKUP(F97,'Học viên- BC nợ học phí'!$C$7:$D$56,2,0)</f>
        <v>#N/A</v>
      </c>
      <c r="H97" s="91"/>
      <c r="I97" s="82"/>
    </row>
    <row r="98" spans="1:9" s="36" customFormat="1" ht="15" customHeight="1">
      <c r="A98" s="36">
        <f t="shared" si="1"/>
      </c>
      <c r="B98" s="128">
        <f>IF(AND($C98&gt;0)*($C98&lt;&gt;$C97),MAX($B$9:$B97)+1,"")</f>
      </c>
      <c r="C98" s="78"/>
      <c r="D98" s="83"/>
      <c r="E98" s="79"/>
      <c r="F98" s="80"/>
      <c r="G98" s="147" t="e">
        <f>VLOOKUP(F98,'Học viên- BC nợ học phí'!$C$7:$D$56,2,0)</f>
        <v>#N/A</v>
      </c>
      <c r="H98" s="91"/>
      <c r="I98" s="82"/>
    </row>
    <row r="99" spans="1:9" s="36" customFormat="1" ht="15" customHeight="1">
      <c r="A99" s="36">
        <f t="shared" si="1"/>
      </c>
      <c r="B99" s="128">
        <f>IF(AND($C99&gt;0)*($C99&lt;&gt;$C98),MAX($B$9:$B98)+1,"")</f>
      </c>
      <c r="C99" s="78"/>
      <c r="D99" s="83"/>
      <c r="E99" s="79"/>
      <c r="F99" s="80"/>
      <c r="G99" s="147" t="e">
        <f>VLOOKUP(F99,'Học viên- BC nợ học phí'!$C$7:$D$56,2,0)</f>
        <v>#N/A</v>
      </c>
      <c r="H99" s="91"/>
      <c r="I99" s="82"/>
    </row>
    <row r="100" spans="1:9" s="36" customFormat="1" ht="15" customHeight="1">
      <c r="A100" s="36">
        <f t="shared" si="1"/>
      </c>
      <c r="B100" s="128">
        <f>IF(AND($C100&gt;0)*($C100&lt;&gt;$C99),MAX($B$9:$B99)+1,"")</f>
      </c>
      <c r="C100" s="78"/>
      <c r="D100" s="83"/>
      <c r="E100" s="122"/>
      <c r="F100" s="80"/>
      <c r="G100" s="147" t="e">
        <f>VLOOKUP(F100,'Học viên- BC nợ học phí'!$C$7:$D$56,2,0)</f>
        <v>#N/A</v>
      </c>
      <c r="H100" s="91"/>
      <c r="I100" s="82"/>
    </row>
    <row r="101" spans="1:9" s="36" customFormat="1" ht="15" customHeight="1">
      <c r="A101" s="36">
        <f t="shared" si="1"/>
      </c>
      <c r="B101" s="128">
        <f>IF(AND($C101&gt;0)*($C101&lt;&gt;$C100),MAX($B$9:$B100)+1,"")</f>
      </c>
      <c r="C101" s="78"/>
      <c r="D101" s="83"/>
      <c r="E101" s="79"/>
      <c r="F101" s="80"/>
      <c r="G101" s="147" t="e">
        <f>VLOOKUP(F101,'Học viên- BC nợ học phí'!$C$7:$D$56,2,0)</f>
        <v>#N/A</v>
      </c>
      <c r="H101" s="91"/>
      <c r="I101" s="82"/>
    </row>
    <row r="102" spans="1:9" s="36" customFormat="1" ht="15" customHeight="1">
      <c r="A102" s="36">
        <f t="shared" si="1"/>
      </c>
      <c r="B102" s="128">
        <f>IF(AND($C102&gt;0)*($C102&lt;&gt;$C101),MAX($B$9:$B101)+1,"")</f>
      </c>
      <c r="C102" s="78"/>
      <c r="D102" s="83"/>
      <c r="E102" s="122"/>
      <c r="F102" s="80"/>
      <c r="G102" s="147" t="e">
        <f>VLOOKUP(F102,'Học viên- BC nợ học phí'!$C$7:$D$56,2,0)</f>
        <v>#N/A</v>
      </c>
      <c r="H102" s="91"/>
      <c r="I102" s="82"/>
    </row>
    <row r="103" spans="1:9" s="36" customFormat="1" ht="15" customHeight="1">
      <c r="A103" s="36">
        <f t="shared" si="1"/>
      </c>
      <c r="B103" s="128">
        <f>IF(AND($C103&gt;0)*($C103&lt;&gt;$C102),MAX($B$9:$B102)+1,"")</f>
      </c>
      <c r="C103" s="78"/>
      <c r="D103" s="83"/>
      <c r="E103" s="79"/>
      <c r="F103" s="80"/>
      <c r="G103" s="147" t="e">
        <f>VLOOKUP(F103,'Học viên- BC nợ học phí'!$C$7:$D$56,2,0)</f>
        <v>#N/A</v>
      </c>
      <c r="H103" s="91"/>
      <c r="I103" s="82"/>
    </row>
    <row r="104" spans="1:9" s="36" customFormat="1" ht="15" customHeight="1">
      <c r="A104" s="36">
        <f t="shared" si="1"/>
      </c>
      <c r="B104" s="128">
        <f>IF(AND($C104&gt;0)*($C104&lt;&gt;$C103),MAX($B$9:$B103)+1,"")</f>
      </c>
      <c r="C104" s="78"/>
      <c r="D104" s="83"/>
      <c r="E104" s="122"/>
      <c r="F104" s="80"/>
      <c r="G104" s="147" t="e">
        <f>VLOOKUP(F104,'Học viên- BC nợ học phí'!$C$7:$D$56,2,0)</f>
        <v>#N/A</v>
      </c>
      <c r="H104" s="91"/>
      <c r="I104" s="82"/>
    </row>
    <row r="105" spans="1:9" s="36" customFormat="1" ht="15" customHeight="1">
      <c r="A105" s="36">
        <f t="shared" si="1"/>
      </c>
      <c r="B105" s="128">
        <f>IF(AND($C105&gt;0)*($C105&lt;&gt;$C104),MAX($B$9:$B104)+1,"")</f>
      </c>
      <c r="C105" s="78"/>
      <c r="D105" s="83"/>
      <c r="E105" s="79"/>
      <c r="F105" s="80"/>
      <c r="G105" s="147" t="e">
        <f>VLOOKUP(F105,'Học viên- BC nợ học phí'!$C$7:$D$56,2,0)</f>
        <v>#N/A</v>
      </c>
      <c r="H105" s="91"/>
      <c r="I105" s="82"/>
    </row>
    <row r="106" spans="1:9" s="36" customFormat="1" ht="15" customHeight="1">
      <c r="A106" s="36">
        <f t="shared" si="1"/>
      </c>
      <c r="B106" s="128">
        <f>IF(AND($C106&gt;0)*($C106&lt;&gt;$C105),MAX($B$9:$B105)+1,"")</f>
      </c>
      <c r="C106" s="78"/>
      <c r="D106" s="83"/>
      <c r="E106" s="131"/>
      <c r="F106" s="80"/>
      <c r="G106" s="147" t="e">
        <f>VLOOKUP(F106,'Học viên- BC nợ học phí'!$C$7:$D$56,2,0)</f>
        <v>#N/A</v>
      </c>
      <c r="H106" s="91"/>
      <c r="I106" s="82"/>
    </row>
    <row r="107" spans="1:9" s="36" customFormat="1" ht="15" customHeight="1">
      <c r="A107" s="36">
        <f t="shared" si="1"/>
      </c>
      <c r="B107" s="128">
        <f>IF(AND($C107&gt;0)*($C107&lt;&gt;$C106),MAX($B$9:$B106)+1,"")</f>
      </c>
      <c r="C107" s="78"/>
      <c r="D107" s="83"/>
      <c r="E107" s="79"/>
      <c r="F107" s="80"/>
      <c r="G107" s="147" t="e">
        <f>VLOOKUP(F107,'Học viên- BC nợ học phí'!$C$7:$D$56,2,0)</f>
        <v>#N/A</v>
      </c>
      <c r="H107" s="91"/>
      <c r="I107" s="82"/>
    </row>
    <row r="108" spans="1:9" s="36" customFormat="1" ht="15" customHeight="1">
      <c r="A108" s="36">
        <f t="shared" si="1"/>
      </c>
      <c r="B108" s="128">
        <f>IF(AND($C108&gt;0)*($C108&lt;&gt;$C107),MAX($B$9:$B107)+1,"")</f>
      </c>
      <c r="C108" s="78"/>
      <c r="D108" s="83"/>
      <c r="E108" s="131"/>
      <c r="F108" s="80"/>
      <c r="G108" s="147" t="e">
        <f>VLOOKUP(F108,'Học viên- BC nợ học phí'!$C$7:$D$56,2,0)</f>
        <v>#N/A</v>
      </c>
      <c r="H108" s="91"/>
      <c r="I108" s="82"/>
    </row>
    <row r="109" spans="1:9" s="36" customFormat="1" ht="15" customHeight="1">
      <c r="A109" s="36">
        <f t="shared" si="1"/>
      </c>
      <c r="B109" s="128">
        <f>IF(AND($C109&gt;0)*($C109&lt;&gt;$C108),MAX($B$9:$B108)+1,"")</f>
      </c>
      <c r="C109" s="78"/>
      <c r="D109" s="83"/>
      <c r="E109" s="79"/>
      <c r="F109" s="80"/>
      <c r="G109" s="147" t="e">
        <f>VLOOKUP(F109,'Học viên- BC nợ học phí'!$C$7:$D$56,2,0)</f>
        <v>#N/A</v>
      </c>
      <c r="H109" s="91"/>
      <c r="I109" s="82"/>
    </row>
    <row r="110" spans="1:9" s="36" customFormat="1" ht="15" customHeight="1">
      <c r="A110" s="36">
        <f t="shared" si="1"/>
      </c>
      <c r="B110" s="128">
        <f>IF(AND($C110&gt;0)*($C110&lt;&gt;$C109),MAX($B$9:$B109)+1,"")</f>
      </c>
      <c r="C110" s="78"/>
      <c r="D110" s="83"/>
      <c r="E110" s="79"/>
      <c r="F110" s="80"/>
      <c r="G110" s="147" t="e">
        <f>VLOOKUP(F110,'Học viên- BC nợ học phí'!$C$7:$D$56,2,0)</f>
        <v>#N/A</v>
      </c>
      <c r="H110" s="91"/>
      <c r="I110" s="82"/>
    </row>
    <row r="111" spans="1:9" s="36" customFormat="1" ht="15" customHeight="1">
      <c r="A111" s="36">
        <f t="shared" si="1"/>
      </c>
      <c r="B111" s="128">
        <f>IF(AND($C111&gt;0)*($C111&lt;&gt;$C110),MAX($B$9:$B110)+1,"")</f>
      </c>
      <c r="C111" s="78"/>
      <c r="D111" s="83"/>
      <c r="E111" s="79"/>
      <c r="F111" s="80"/>
      <c r="G111" s="147" t="e">
        <f>VLOOKUP(F111,'Học viên- BC nợ học phí'!$C$7:$D$56,2,0)</f>
        <v>#N/A</v>
      </c>
      <c r="H111" s="91"/>
      <c r="I111" s="82"/>
    </row>
    <row r="112" spans="1:9" s="36" customFormat="1" ht="15" customHeight="1">
      <c r="A112" s="36">
        <f t="shared" si="1"/>
      </c>
      <c r="B112" s="128">
        <f>IF(AND($C112&gt;0)*($C112&lt;&gt;$C111),MAX($B$9:$B111)+1,"")</f>
      </c>
      <c r="C112" s="78"/>
      <c r="D112" s="83"/>
      <c r="E112" s="131"/>
      <c r="F112" s="80"/>
      <c r="G112" s="147" t="e">
        <f>VLOOKUP(F112,'Học viên- BC nợ học phí'!$C$7:$D$56,2,0)</f>
        <v>#N/A</v>
      </c>
      <c r="H112" s="91"/>
      <c r="I112" s="82"/>
    </row>
    <row r="113" spans="1:9" s="36" customFormat="1" ht="15" customHeight="1">
      <c r="A113" s="36">
        <f t="shared" si="1"/>
      </c>
      <c r="B113" s="128">
        <f>IF(AND($C113&gt;0)*($C113&lt;&gt;$C112),MAX($B$9:$B112)+1,"")</f>
      </c>
      <c r="C113" s="78"/>
      <c r="D113" s="83"/>
      <c r="E113" s="79"/>
      <c r="F113" s="80"/>
      <c r="G113" s="147" t="e">
        <f>VLOOKUP(F113,'Học viên- BC nợ học phí'!$C$7:$D$56,2,0)</f>
        <v>#N/A</v>
      </c>
      <c r="H113" s="91"/>
      <c r="I113" s="82"/>
    </row>
    <row r="114" spans="1:9" s="36" customFormat="1" ht="15" customHeight="1">
      <c r="A114" s="36">
        <f t="shared" si="1"/>
      </c>
      <c r="B114" s="128">
        <f>IF(AND($C114&gt;0)*($C114&lt;&gt;$C113),MAX($B$9:$B113)+1,"")</f>
      </c>
      <c r="C114" s="78"/>
      <c r="D114" s="83"/>
      <c r="E114" s="131"/>
      <c r="F114" s="80"/>
      <c r="G114" s="147" t="e">
        <f>VLOOKUP(F114,'Học viên- BC nợ học phí'!$C$7:$D$56,2,0)</f>
        <v>#N/A</v>
      </c>
      <c r="H114" s="91"/>
      <c r="I114" s="82"/>
    </row>
    <row r="115" spans="1:9" s="36" customFormat="1" ht="15" customHeight="1">
      <c r="A115" s="36">
        <f t="shared" si="1"/>
      </c>
      <c r="B115" s="128">
        <f>IF(AND($C115&gt;0)*($C115&lt;&gt;$C114),MAX($B$9:$B114)+1,"")</f>
      </c>
      <c r="C115" s="78"/>
      <c r="D115" s="83"/>
      <c r="E115" s="131"/>
      <c r="F115" s="80"/>
      <c r="G115" s="147" t="e">
        <f>VLOOKUP(F115,'Học viên- BC nợ học phí'!$C$7:$D$56,2,0)</f>
        <v>#N/A</v>
      </c>
      <c r="H115" s="91"/>
      <c r="I115" s="82"/>
    </row>
    <row r="116" spans="1:9" s="36" customFormat="1" ht="15" customHeight="1">
      <c r="A116" s="36">
        <f t="shared" si="1"/>
      </c>
      <c r="B116" s="128">
        <f>IF(AND($C116&gt;0)*($C116&lt;&gt;$C115),MAX($B$9:$B115)+1,"")</f>
      </c>
      <c r="C116" s="78"/>
      <c r="D116" s="83"/>
      <c r="E116" s="131"/>
      <c r="F116" s="80"/>
      <c r="G116" s="147" t="e">
        <f>VLOOKUP(F116,'Học viên- BC nợ học phí'!$C$7:$D$56,2,0)</f>
        <v>#N/A</v>
      </c>
      <c r="H116" s="91"/>
      <c r="I116" s="82"/>
    </row>
    <row r="117" spans="1:9" s="36" customFormat="1" ht="15" customHeight="1">
      <c r="A117" s="36">
        <f t="shared" si="1"/>
      </c>
      <c r="B117" s="128">
        <f>IF(AND($C117&gt;0)*($C117&lt;&gt;$C116),MAX($B$9:$B116)+1,"")</f>
      </c>
      <c r="C117" s="78"/>
      <c r="D117" s="83"/>
      <c r="E117" s="131"/>
      <c r="F117" s="80"/>
      <c r="G117" s="147" t="e">
        <f>VLOOKUP(F117,'Học viên- BC nợ học phí'!$C$7:$D$56,2,0)</f>
        <v>#N/A</v>
      </c>
      <c r="H117" s="91"/>
      <c r="I117" s="82"/>
    </row>
    <row r="118" spans="1:9" s="36" customFormat="1" ht="15" customHeight="1">
      <c r="A118" s="36">
        <f t="shared" si="1"/>
      </c>
      <c r="B118" s="128">
        <f>IF(AND($C118&gt;0)*($C118&lt;&gt;$C117),MAX($B$9:$B117)+1,"")</f>
      </c>
      <c r="C118" s="78"/>
      <c r="D118" s="83"/>
      <c r="E118" s="122"/>
      <c r="F118" s="80"/>
      <c r="G118" s="147" t="e">
        <f>VLOOKUP(F118,'Học viên- BC nợ học phí'!$C$7:$D$56,2,0)</f>
        <v>#N/A</v>
      </c>
      <c r="H118" s="91"/>
      <c r="I118" s="82"/>
    </row>
    <row r="119" spans="1:9" s="36" customFormat="1" ht="15" customHeight="1">
      <c r="A119" s="36">
        <f t="shared" si="1"/>
      </c>
      <c r="B119" s="128">
        <f>IF(AND($C119&gt;0)*($C119&lt;&gt;$C118),MAX($B$9:$B118)+1,"")</f>
      </c>
      <c r="C119" s="78"/>
      <c r="D119" s="83"/>
      <c r="E119" s="79"/>
      <c r="F119" s="80"/>
      <c r="G119" s="147" t="e">
        <f>VLOOKUP(F119,'Học viên- BC nợ học phí'!$C$7:$D$56,2,0)</f>
        <v>#N/A</v>
      </c>
      <c r="H119" s="91"/>
      <c r="I119" s="82"/>
    </row>
    <row r="120" spans="1:9" s="36" customFormat="1" ht="15" customHeight="1">
      <c r="A120" s="36">
        <f t="shared" si="1"/>
      </c>
      <c r="B120" s="128">
        <f>IF(AND($C120&gt;0)*($C120&lt;&gt;$C119),MAX($B$9:$B119)+1,"")</f>
      </c>
      <c r="C120" s="78"/>
      <c r="D120" s="83"/>
      <c r="E120" s="122"/>
      <c r="F120" s="80"/>
      <c r="G120" s="147" t="e">
        <f>VLOOKUP(F120,'Học viên- BC nợ học phí'!$C$7:$D$56,2,0)</f>
        <v>#N/A</v>
      </c>
      <c r="H120" s="91"/>
      <c r="I120" s="82"/>
    </row>
    <row r="121" spans="1:9" s="36" customFormat="1" ht="15" customHeight="1">
      <c r="A121" s="36">
        <f t="shared" si="1"/>
      </c>
      <c r="B121" s="128">
        <f>IF(AND($C121&gt;0)*($C121&lt;&gt;$C120),MAX($B$9:$B120)+1,"")</f>
      </c>
      <c r="C121" s="78"/>
      <c r="D121" s="83"/>
      <c r="E121" s="79"/>
      <c r="F121" s="80"/>
      <c r="G121" s="147" t="e">
        <f>VLOOKUP(F121,'Học viên- BC nợ học phí'!$C$7:$D$56,2,0)</f>
        <v>#N/A</v>
      </c>
      <c r="H121" s="91"/>
      <c r="I121" s="82"/>
    </row>
    <row r="122" spans="1:9" s="36" customFormat="1" ht="15" customHeight="1">
      <c r="A122" s="36">
        <f t="shared" si="1"/>
      </c>
      <c r="B122" s="128">
        <f>IF(AND($C122&gt;0)*($C122&lt;&gt;$C121),MAX($B$9:$B121)+1,"")</f>
      </c>
      <c r="C122" s="78"/>
      <c r="D122" s="83"/>
      <c r="E122" s="122"/>
      <c r="F122" s="80"/>
      <c r="G122" s="147" t="e">
        <f>VLOOKUP(F122,'Học viên- BC nợ học phí'!$C$7:$D$56,2,0)</f>
        <v>#N/A</v>
      </c>
      <c r="H122" s="91"/>
      <c r="I122" s="82"/>
    </row>
    <row r="123" spans="1:9" s="36" customFormat="1" ht="15" customHeight="1">
      <c r="A123" s="36">
        <f t="shared" si="1"/>
      </c>
      <c r="B123" s="128">
        <f>IF(AND($C123&gt;0)*($C123&lt;&gt;$C122),MAX($B$9:$B122)+1,"")</f>
      </c>
      <c r="C123" s="78"/>
      <c r="D123" s="83"/>
      <c r="E123" s="79"/>
      <c r="F123" s="80"/>
      <c r="G123" s="147" t="e">
        <f>VLOOKUP(F123,'Học viên- BC nợ học phí'!$C$7:$D$56,2,0)</f>
        <v>#N/A</v>
      </c>
      <c r="H123" s="91"/>
      <c r="I123" s="82"/>
    </row>
    <row r="124" spans="1:9" s="36" customFormat="1" ht="15" customHeight="1">
      <c r="A124" s="36">
        <f t="shared" si="1"/>
      </c>
      <c r="B124" s="128">
        <f>IF(AND($C124&gt;0)*($C124&lt;&gt;$C123),MAX($B$9:$B123)+1,"")</f>
      </c>
      <c r="C124" s="78"/>
      <c r="D124" s="83"/>
      <c r="E124" s="131"/>
      <c r="F124" s="80"/>
      <c r="G124" s="147" t="e">
        <f>VLOOKUP(F124,'Học viên- BC nợ học phí'!$C$7:$D$56,2,0)</f>
        <v>#N/A</v>
      </c>
      <c r="H124" s="91"/>
      <c r="I124" s="82"/>
    </row>
    <row r="125" spans="1:9" s="36" customFormat="1" ht="15" customHeight="1">
      <c r="A125" s="36">
        <f t="shared" si="1"/>
      </c>
      <c r="B125" s="128">
        <f>IF(AND($C125&gt;0)*($C125&lt;&gt;$C124),MAX($B$9:$B124)+1,"")</f>
      </c>
      <c r="C125" s="78"/>
      <c r="D125" s="83"/>
      <c r="E125" s="79"/>
      <c r="F125" s="80"/>
      <c r="G125" s="147" t="e">
        <f>VLOOKUP(F125,'Học viên- BC nợ học phí'!$C$7:$D$56,2,0)</f>
        <v>#N/A</v>
      </c>
      <c r="H125" s="91"/>
      <c r="I125" s="82"/>
    </row>
    <row r="126" spans="1:9" s="36" customFormat="1" ht="15" customHeight="1">
      <c r="A126" s="36">
        <f t="shared" si="1"/>
      </c>
      <c r="B126" s="128">
        <f>IF(AND($C126&gt;0)*($C126&lt;&gt;$C125),MAX($B$9:$B125)+1,"")</f>
      </c>
      <c r="C126" s="78"/>
      <c r="D126" s="83"/>
      <c r="E126" s="131"/>
      <c r="F126" s="80"/>
      <c r="G126" s="147" t="e">
        <f>VLOOKUP(F126,'Học viên- BC nợ học phí'!$C$7:$D$56,2,0)</f>
        <v>#N/A</v>
      </c>
      <c r="H126" s="91"/>
      <c r="I126" s="82"/>
    </row>
    <row r="127" spans="1:9" s="36" customFormat="1" ht="15" customHeight="1">
      <c r="A127" s="36">
        <f t="shared" si="1"/>
      </c>
      <c r="B127" s="128">
        <f>IF(AND($C127&gt;0)*($C127&lt;&gt;$C126),MAX($B$9:$B126)+1,"")</f>
      </c>
      <c r="C127" s="78"/>
      <c r="D127" s="83"/>
      <c r="E127" s="79"/>
      <c r="F127" s="80"/>
      <c r="G127" s="147" t="e">
        <f>VLOOKUP(F127,'Học viên- BC nợ học phí'!$C$7:$D$56,2,0)</f>
        <v>#N/A</v>
      </c>
      <c r="H127" s="91"/>
      <c r="I127" s="82"/>
    </row>
    <row r="128" spans="1:9" s="36" customFormat="1" ht="15" customHeight="1">
      <c r="A128" s="36">
        <f t="shared" si="1"/>
      </c>
      <c r="B128" s="128">
        <f>IF(AND($C128&gt;0)*($C128&lt;&gt;$C127),MAX($B$9:$B127)+1,"")</f>
      </c>
      <c r="C128" s="78"/>
      <c r="D128" s="83"/>
      <c r="E128" s="79"/>
      <c r="F128" s="80"/>
      <c r="G128" s="147" t="e">
        <f>VLOOKUP(F128,'Học viên- BC nợ học phí'!$C$7:$D$56,2,0)</f>
        <v>#N/A</v>
      </c>
      <c r="H128" s="91"/>
      <c r="I128" s="82"/>
    </row>
    <row r="129" spans="1:9" s="36" customFormat="1" ht="15" customHeight="1">
      <c r="A129" s="36">
        <f t="shared" si="1"/>
      </c>
      <c r="B129" s="128">
        <f>IF(AND($C129&gt;0)*($C129&lt;&gt;$C128),MAX($B$9:$B128)+1,"")</f>
      </c>
      <c r="C129" s="78"/>
      <c r="D129" s="83"/>
      <c r="E129" s="79"/>
      <c r="F129" s="80"/>
      <c r="G129" s="147" t="e">
        <f>VLOOKUP(F129,'Học viên- BC nợ học phí'!$C$7:$D$56,2,0)</f>
        <v>#N/A</v>
      </c>
      <c r="H129" s="91"/>
      <c r="I129" s="82"/>
    </row>
    <row r="130" spans="1:9" s="36" customFormat="1" ht="15" customHeight="1">
      <c r="A130" s="36">
        <f t="shared" si="1"/>
      </c>
      <c r="B130" s="128">
        <f>IF(AND($C130&gt;0)*($C130&lt;&gt;$C129),MAX($B$9:$B129)+1,"")</f>
      </c>
      <c r="C130" s="78"/>
      <c r="D130" s="83"/>
      <c r="E130" s="131"/>
      <c r="F130" s="80"/>
      <c r="G130" s="147" t="e">
        <f>VLOOKUP(F130,'Học viên- BC nợ học phí'!$C$7:$D$56,2,0)</f>
        <v>#N/A</v>
      </c>
      <c r="H130" s="91"/>
      <c r="I130" s="82"/>
    </row>
    <row r="131" spans="1:9" s="36" customFormat="1" ht="15" customHeight="1">
      <c r="A131" s="36">
        <f t="shared" si="1"/>
      </c>
      <c r="B131" s="128">
        <f>IF(AND($C131&gt;0)*($C131&lt;&gt;$C130),MAX($B$9:$B130)+1,"")</f>
      </c>
      <c r="C131" s="78"/>
      <c r="D131" s="83"/>
      <c r="E131" s="79"/>
      <c r="F131" s="80"/>
      <c r="G131" s="147" t="e">
        <f>VLOOKUP(F131,'Học viên- BC nợ học phí'!$C$7:$D$56,2,0)</f>
        <v>#N/A</v>
      </c>
      <c r="H131" s="91"/>
      <c r="I131" s="82"/>
    </row>
    <row r="132" spans="1:9" s="36" customFormat="1" ht="15" customHeight="1">
      <c r="A132" s="36">
        <f t="shared" si="1"/>
      </c>
      <c r="B132" s="128">
        <f>IF(AND($C132&gt;0)*($C132&lt;&gt;$C131),MAX($B$9:$B131)+1,"")</f>
      </c>
      <c r="C132" s="123"/>
      <c r="D132" s="83"/>
      <c r="E132" s="131"/>
      <c r="F132" s="80"/>
      <c r="G132" s="147" t="e">
        <f>VLOOKUP(F132,'Học viên- BC nợ học phí'!$C$7:$D$56,2,0)</f>
        <v>#N/A</v>
      </c>
      <c r="H132" s="91"/>
      <c r="I132" s="82"/>
    </row>
    <row r="133" spans="1:9" s="36" customFormat="1" ht="15" customHeight="1">
      <c r="A133" s="36">
        <f t="shared" si="1"/>
      </c>
      <c r="B133" s="128">
        <f>IF(AND($C133&gt;0)*($C133&lt;&gt;$C132),MAX($B$9:$B132)+1,"")</f>
      </c>
      <c r="C133" s="123"/>
      <c r="D133" s="83"/>
      <c r="E133" s="131"/>
      <c r="F133" s="80"/>
      <c r="G133" s="147" t="e">
        <f>VLOOKUP(F133,'Học viên- BC nợ học phí'!$C$7:$D$56,2,0)</f>
        <v>#N/A</v>
      </c>
      <c r="H133" s="91"/>
      <c r="I133" s="82"/>
    </row>
    <row r="134" spans="1:9" s="36" customFormat="1" ht="15" customHeight="1">
      <c r="A134" s="36">
        <f t="shared" si="1"/>
      </c>
      <c r="B134" s="128">
        <f>IF(AND($C134&gt;0)*($C134&lt;&gt;$C133),MAX($B$9:$B133)+1,"")</f>
      </c>
      <c r="C134" s="123"/>
      <c r="D134" s="83"/>
      <c r="E134" s="131"/>
      <c r="F134" s="80"/>
      <c r="G134" s="147" t="e">
        <f>VLOOKUP(F134,'Học viên- BC nợ học phí'!$C$7:$D$56,2,0)</f>
        <v>#N/A</v>
      </c>
      <c r="H134" s="91"/>
      <c r="I134" s="82"/>
    </row>
    <row r="135" spans="1:9" s="36" customFormat="1" ht="15" customHeight="1">
      <c r="A135" s="36">
        <f t="shared" si="1"/>
      </c>
      <c r="B135" s="128">
        <f>IF(AND($C135&gt;0)*($C135&lt;&gt;$C134),MAX($B$9:$B134)+1,"")</f>
      </c>
      <c r="C135" s="123"/>
      <c r="D135" s="83"/>
      <c r="E135" s="131"/>
      <c r="F135" s="80"/>
      <c r="G135" s="147" t="e">
        <f>VLOOKUP(F135,'Học viên- BC nợ học phí'!$C$7:$D$56,2,0)</f>
        <v>#N/A</v>
      </c>
      <c r="H135" s="91"/>
      <c r="I135" s="82"/>
    </row>
    <row r="136" spans="1:9" s="36" customFormat="1" ht="15" customHeight="1">
      <c r="A136" s="36">
        <f t="shared" si="1"/>
      </c>
      <c r="B136" s="128">
        <f>IF(AND($C136&gt;0)*($C136&lt;&gt;$C135),MAX($B$9:$B135)+1,"")</f>
      </c>
      <c r="C136" s="123"/>
      <c r="D136" s="83"/>
      <c r="E136" s="131"/>
      <c r="F136" s="80"/>
      <c r="G136" s="147" t="e">
        <f>VLOOKUP(F136,'Học viên- BC nợ học phí'!$C$7:$D$56,2,0)</f>
        <v>#N/A</v>
      </c>
      <c r="H136" s="91"/>
      <c r="I136" s="82"/>
    </row>
    <row r="137" spans="1:9" s="36" customFormat="1" ht="15" customHeight="1">
      <c r="A137" s="36">
        <f t="shared" si="1"/>
      </c>
      <c r="B137" s="128">
        <f>IF(AND($C137&gt;0)*($C137&lt;&gt;$C136),MAX($B$9:$B136)+1,"")</f>
      </c>
      <c r="C137" s="123"/>
      <c r="D137" s="83"/>
      <c r="E137" s="131"/>
      <c r="F137" s="80"/>
      <c r="G137" s="147" t="e">
        <f>VLOOKUP(F137,'Học viên- BC nợ học phí'!$C$7:$D$56,2,0)</f>
        <v>#N/A</v>
      </c>
      <c r="H137" s="91"/>
      <c r="I137" s="82"/>
    </row>
    <row r="138" spans="1:9" s="36" customFormat="1" ht="15" customHeight="1">
      <c r="A138" s="36">
        <f aca="true" t="shared" si="2" ref="A138:A201">F138&amp;I138</f>
      </c>
      <c r="B138" s="128">
        <f>IF(AND($C138&gt;0)*($C138&lt;&gt;$C137),MAX($B$9:$B137)+1,"")</f>
      </c>
      <c r="C138" s="123"/>
      <c r="D138" s="83"/>
      <c r="E138" s="131"/>
      <c r="F138" s="80"/>
      <c r="G138" s="147" t="e">
        <f>VLOOKUP(F138,'Học viên- BC nợ học phí'!$C$7:$D$56,2,0)</f>
        <v>#N/A</v>
      </c>
      <c r="H138" s="91"/>
      <c r="I138" s="82"/>
    </row>
    <row r="139" spans="1:9" s="36" customFormat="1" ht="15" customHeight="1">
      <c r="A139" s="36">
        <f t="shared" si="2"/>
      </c>
      <c r="B139" s="128">
        <f>IF(AND($C139&gt;0)*($C139&lt;&gt;$C138),MAX($B$9:$B138)+1,"")</f>
      </c>
      <c r="C139" s="123"/>
      <c r="D139" s="83"/>
      <c r="E139" s="131"/>
      <c r="F139" s="80"/>
      <c r="G139" s="147" t="e">
        <f>VLOOKUP(F139,'Học viên- BC nợ học phí'!$C$7:$D$56,2,0)</f>
        <v>#N/A</v>
      </c>
      <c r="H139" s="91"/>
      <c r="I139" s="82"/>
    </row>
    <row r="140" spans="1:9" s="36" customFormat="1" ht="15" customHeight="1">
      <c r="A140" s="36">
        <f t="shared" si="2"/>
      </c>
      <c r="B140" s="128">
        <f>IF(AND($C140&gt;0)*($C140&lt;&gt;$C139),MAX($B$9:$B139)+1,"")</f>
      </c>
      <c r="C140" s="150"/>
      <c r="D140" s="83"/>
      <c r="E140" s="131"/>
      <c r="F140" s="80"/>
      <c r="G140" s="147" t="e">
        <f>VLOOKUP(F140,'Học viên- BC nợ học phí'!$C$7:$D$56,2,0)</f>
        <v>#N/A</v>
      </c>
      <c r="H140" s="81"/>
      <c r="I140" s="82"/>
    </row>
    <row r="141" spans="1:9" s="36" customFormat="1" ht="15" customHeight="1">
      <c r="A141" s="36">
        <f t="shared" si="2"/>
      </c>
      <c r="B141" s="128">
        <f>IF(AND($C141&gt;0)*($C141&lt;&gt;$C140),MAX($B$9:$B140)+1,"")</f>
      </c>
      <c r="C141" s="78"/>
      <c r="D141" s="83"/>
      <c r="E141" s="79"/>
      <c r="F141" s="80"/>
      <c r="G141" s="147" t="e">
        <f>VLOOKUP(F141,'Học viên- BC nợ học phí'!$C$7:$D$56,2,0)</f>
        <v>#N/A</v>
      </c>
      <c r="H141" s="81"/>
      <c r="I141" s="82"/>
    </row>
    <row r="142" spans="1:9" s="36" customFormat="1" ht="15" customHeight="1">
      <c r="A142" s="36">
        <f t="shared" si="2"/>
      </c>
      <c r="B142" s="128">
        <f>IF(AND($C142&gt;0)*($C142&lt;&gt;$C141),MAX($B$9:$B141)+1,"")</f>
      </c>
      <c r="C142" s="78"/>
      <c r="D142" s="83"/>
      <c r="E142" s="79"/>
      <c r="F142" s="80"/>
      <c r="G142" s="147" t="e">
        <f>VLOOKUP(F142,'Học viên- BC nợ học phí'!$C$7:$D$56,2,0)</f>
        <v>#N/A</v>
      </c>
      <c r="H142" s="81"/>
      <c r="I142" s="82"/>
    </row>
    <row r="143" spans="1:9" s="36" customFormat="1" ht="15" customHeight="1">
      <c r="A143" s="36">
        <f t="shared" si="2"/>
      </c>
      <c r="B143" s="128">
        <f>IF(AND($C143&gt;0)*($C143&lt;&gt;$C142),MAX($B$9:$B142)+1,"")</f>
      </c>
      <c r="C143" s="78"/>
      <c r="D143" s="83"/>
      <c r="E143" s="79"/>
      <c r="F143" s="80"/>
      <c r="G143" s="147" t="e">
        <f>VLOOKUP(F143,'Học viên- BC nợ học phí'!$C$7:$D$56,2,0)</f>
        <v>#N/A</v>
      </c>
      <c r="H143" s="81"/>
      <c r="I143" s="82"/>
    </row>
    <row r="144" spans="1:9" s="36" customFormat="1" ht="15" customHeight="1">
      <c r="A144" s="36">
        <f t="shared" si="2"/>
      </c>
      <c r="B144" s="128">
        <f>IF(AND($C144&gt;0)*($C144&lt;&gt;$C143),MAX($B$9:$B143)+1,"")</f>
      </c>
      <c r="C144" s="78"/>
      <c r="D144" s="83"/>
      <c r="E144" s="79"/>
      <c r="F144" s="80"/>
      <c r="G144" s="147" t="e">
        <f>VLOOKUP(F144,'Học viên- BC nợ học phí'!$C$7:$D$56,2,0)</f>
        <v>#N/A</v>
      </c>
      <c r="H144" s="81"/>
      <c r="I144" s="82"/>
    </row>
    <row r="145" spans="1:9" s="36" customFormat="1" ht="15" customHeight="1">
      <c r="A145" s="36">
        <f t="shared" si="2"/>
      </c>
      <c r="B145" s="128">
        <f>IF(AND($C145&gt;0)*($C145&lt;&gt;$C144),MAX($B$9:$B144)+1,"")</f>
      </c>
      <c r="C145" s="78"/>
      <c r="D145" s="83"/>
      <c r="E145" s="79"/>
      <c r="F145" s="80"/>
      <c r="G145" s="147" t="e">
        <f>VLOOKUP(F145,'Học viên- BC nợ học phí'!$C$7:$D$56,2,0)</f>
        <v>#N/A</v>
      </c>
      <c r="H145" s="81"/>
      <c r="I145" s="82"/>
    </row>
    <row r="146" spans="1:9" s="36" customFormat="1" ht="15" customHeight="1">
      <c r="A146" s="36">
        <f t="shared" si="2"/>
      </c>
      <c r="B146" s="128">
        <f>IF(AND($C146&gt;0)*($C146&lt;&gt;$C145),MAX($B$9:$B145)+1,"")</f>
      </c>
      <c r="C146" s="78"/>
      <c r="D146" s="83"/>
      <c r="E146" s="79"/>
      <c r="F146" s="80"/>
      <c r="G146" s="147" t="e">
        <f>VLOOKUP(F146,'Học viên- BC nợ học phí'!$C$7:$D$56,2,0)</f>
        <v>#N/A</v>
      </c>
      <c r="H146" s="81"/>
      <c r="I146" s="82"/>
    </row>
    <row r="147" spans="1:9" s="36" customFormat="1" ht="15" customHeight="1">
      <c r="A147" s="36">
        <f t="shared" si="2"/>
      </c>
      <c r="B147" s="128">
        <f>IF(AND($C147&gt;0)*($C147&lt;&gt;$C146),MAX($B$9:$B146)+1,"")</f>
      </c>
      <c r="C147" s="78"/>
      <c r="D147" s="83"/>
      <c r="E147" s="79"/>
      <c r="F147" s="80"/>
      <c r="G147" s="147" t="e">
        <f>VLOOKUP(F147,'Học viên- BC nợ học phí'!$C$7:$D$56,2,0)</f>
        <v>#N/A</v>
      </c>
      <c r="H147" s="81"/>
      <c r="I147" s="82"/>
    </row>
    <row r="148" spans="1:9" s="36" customFormat="1" ht="15" customHeight="1">
      <c r="A148" s="36">
        <f t="shared" si="2"/>
      </c>
      <c r="B148" s="128">
        <f>IF(AND($C148&gt;0)*($C148&lt;&gt;$C147),MAX($B$9:$B147)+1,"")</f>
      </c>
      <c r="C148" s="78"/>
      <c r="D148" s="83"/>
      <c r="E148" s="79"/>
      <c r="F148" s="80"/>
      <c r="G148" s="147" t="e">
        <f>VLOOKUP(F148,'Học viên- BC nợ học phí'!$C$7:$D$56,2,0)</f>
        <v>#N/A</v>
      </c>
      <c r="H148" s="81"/>
      <c r="I148" s="82"/>
    </row>
    <row r="149" spans="1:9" s="36" customFormat="1" ht="15" customHeight="1">
      <c r="A149" s="36">
        <f t="shared" si="2"/>
      </c>
      <c r="B149" s="128">
        <f>IF(AND($C149&gt;0)*($C149&lt;&gt;$C148),MAX($B$9:$B148)+1,"")</f>
      </c>
      <c r="C149" s="78"/>
      <c r="D149" s="83"/>
      <c r="E149" s="79"/>
      <c r="F149" s="80"/>
      <c r="G149" s="147" t="e">
        <f>VLOOKUP(F149,'Học viên- BC nợ học phí'!$C$7:$D$56,2,0)</f>
        <v>#N/A</v>
      </c>
      <c r="H149" s="81"/>
      <c r="I149" s="82"/>
    </row>
    <row r="150" spans="1:9" s="36" customFormat="1" ht="15" customHeight="1">
      <c r="A150" s="36">
        <f t="shared" si="2"/>
      </c>
      <c r="B150" s="128">
        <f>IF(AND($C150&gt;0)*($C150&lt;&gt;$C149),MAX($B$9:$B149)+1,"")</f>
      </c>
      <c r="C150" s="78"/>
      <c r="D150" s="83"/>
      <c r="E150" s="79"/>
      <c r="F150" s="80"/>
      <c r="G150" s="147" t="e">
        <f>VLOOKUP(F150,'Học viên- BC nợ học phí'!$C$7:$D$56,2,0)</f>
        <v>#N/A</v>
      </c>
      <c r="H150" s="81"/>
      <c r="I150" s="82"/>
    </row>
    <row r="151" spans="1:9" s="36" customFormat="1" ht="15" customHeight="1">
      <c r="A151" s="36">
        <f t="shared" si="2"/>
      </c>
      <c r="B151" s="128">
        <f>IF(AND($C151&gt;0)*($C151&lt;&gt;$C150),MAX($B$9:$B150)+1,"")</f>
      </c>
      <c r="C151" s="78"/>
      <c r="D151" s="83"/>
      <c r="E151" s="79"/>
      <c r="F151" s="80"/>
      <c r="G151" s="147" t="e">
        <f>VLOOKUP(F151,'Học viên- BC nợ học phí'!$C$7:$D$56,2,0)</f>
        <v>#N/A</v>
      </c>
      <c r="H151" s="81"/>
      <c r="I151" s="82"/>
    </row>
    <row r="152" spans="1:9" s="36" customFormat="1" ht="15" customHeight="1">
      <c r="A152" s="36">
        <f t="shared" si="2"/>
      </c>
      <c r="B152" s="128">
        <f>IF(AND($C152&gt;0)*($C152&lt;&gt;$C151),MAX($B$9:$B151)+1,"")</f>
      </c>
      <c r="C152" s="78"/>
      <c r="D152" s="83"/>
      <c r="E152" s="79"/>
      <c r="F152" s="80"/>
      <c r="G152" s="147" t="e">
        <f>VLOOKUP(F152,'Học viên- BC nợ học phí'!$C$7:$D$56,2,0)</f>
        <v>#N/A</v>
      </c>
      <c r="H152" s="81"/>
      <c r="I152" s="82"/>
    </row>
    <row r="153" spans="1:9" s="36" customFormat="1" ht="15" customHeight="1">
      <c r="A153" s="36">
        <f t="shared" si="2"/>
      </c>
      <c r="B153" s="128">
        <f>IF(AND($C153&gt;0)*($C153&lt;&gt;$C152),MAX($B$9:$B152)+1,"")</f>
      </c>
      <c r="C153" s="78"/>
      <c r="D153" s="83"/>
      <c r="E153" s="79"/>
      <c r="F153" s="80"/>
      <c r="G153" s="147" t="e">
        <f>VLOOKUP(F153,'Học viên- BC nợ học phí'!$C$7:$D$56,2,0)</f>
        <v>#N/A</v>
      </c>
      <c r="H153" s="81"/>
      <c r="I153" s="82"/>
    </row>
    <row r="154" spans="1:9" s="36" customFormat="1" ht="15" customHeight="1">
      <c r="A154" s="36">
        <f t="shared" si="2"/>
      </c>
      <c r="B154" s="128">
        <f>IF(AND($C154&gt;0)*($C154&lt;&gt;$C153),MAX($B$9:$B153)+1,"")</f>
      </c>
      <c r="C154" s="78"/>
      <c r="D154" s="83"/>
      <c r="E154" s="79"/>
      <c r="F154" s="80"/>
      <c r="G154" s="147" t="e">
        <f>VLOOKUP(F154,'Học viên- BC nợ học phí'!$C$7:$D$56,2,0)</f>
        <v>#N/A</v>
      </c>
      <c r="H154" s="81"/>
      <c r="I154" s="82"/>
    </row>
    <row r="155" spans="1:9" s="36" customFormat="1" ht="15" customHeight="1">
      <c r="A155" s="36">
        <f t="shared" si="2"/>
      </c>
      <c r="B155" s="128">
        <f>IF(AND($C155&gt;0)*($C155&lt;&gt;$C154),MAX($B$9:$B154)+1,"")</f>
      </c>
      <c r="C155" s="78"/>
      <c r="D155" s="83"/>
      <c r="E155" s="79"/>
      <c r="F155" s="80"/>
      <c r="G155" s="147" t="e">
        <f>VLOOKUP(F155,'Học viên- BC nợ học phí'!$C$7:$D$56,2,0)</f>
        <v>#N/A</v>
      </c>
      <c r="H155" s="81"/>
      <c r="I155" s="82"/>
    </row>
    <row r="156" spans="1:9" s="36" customFormat="1" ht="15" customHeight="1">
      <c r="A156" s="36">
        <f t="shared" si="2"/>
      </c>
      <c r="B156" s="128">
        <f>IF(AND($C156&gt;0)*($C156&lt;&gt;$C155),MAX($B$9:$B155)+1,"")</f>
      </c>
      <c r="C156" s="78"/>
      <c r="D156" s="83"/>
      <c r="E156" s="79"/>
      <c r="F156" s="80"/>
      <c r="G156" s="147" t="e">
        <f>VLOOKUP(F156,'Học viên- BC nợ học phí'!$C$7:$D$56,2,0)</f>
        <v>#N/A</v>
      </c>
      <c r="H156" s="81"/>
      <c r="I156" s="82"/>
    </row>
    <row r="157" spans="1:9" s="36" customFormat="1" ht="15" customHeight="1">
      <c r="A157" s="36">
        <f t="shared" si="2"/>
      </c>
      <c r="B157" s="128">
        <f>IF(AND($C157&gt;0)*($C157&lt;&gt;$C156),MAX($B$9:$B156)+1,"")</f>
      </c>
      <c r="C157" s="78"/>
      <c r="D157" s="83"/>
      <c r="E157" s="79"/>
      <c r="F157" s="80"/>
      <c r="G157" s="147" t="e">
        <f>VLOOKUP(F157,'Học viên- BC nợ học phí'!$C$7:$D$56,2,0)</f>
        <v>#N/A</v>
      </c>
      <c r="H157" s="81"/>
      <c r="I157" s="82"/>
    </row>
    <row r="158" spans="1:9" s="36" customFormat="1" ht="15" customHeight="1">
      <c r="A158" s="36">
        <f t="shared" si="2"/>
      </c>
      <c r="B158" s="128">
        <f>IF(AND($C158&gt;0)*($C158&lt;&gt;$C157),MAX($B$9:$B157)+1,"")</f>
      </c>
      <c r="C158" s="78"/>
      <c r="D158" s="83"/>
      <c r="E158" s="79"/>
      <c r="F158" s="80"/>
      <c r="G158" s="147" t="e">
        <f>VLOOKUP(F158,'Học viên- BC nợ học phí'!$C$7:$D$56,2,0)</f>
        <v>#N/A</v>
      </c>
      <c r="H158" s="81"/>
      <c r="I158" s="82"/>
    </row>
    <row r="159" spans="1:9" s="36" customFormat="1" ht="15" customHeight="1">
      <c r="A159" s="36">
        <f t="shared" si="2"/>
      </c>
      <c r="B159" s="128">
        <f>IF(AND($C159&gt;0)*($C159&lt;&gt;$C158),MAX($B$9:$B158)+1,"")</f>
      </c>
      <c r="C159" s="78"/>
      <c r="D159" s="83"/>
      <c r="E159" s="79"/>
      <c r="F159" s="80"/>
      <c r="G159" s="147" t="e">
        <f>VLOOKUP(F159,'Học viên- BC nợ học phí'!$C$7:$D$56,2,0)</f>
        <v>#N/A</v>
      </c>
      <c r="H159" s="81"/>
      <c r="I159" s="82"/>
    </row>
    <row r="160" spans="1:9" s="36" customFormat="1" ht="15" customHeight="1">
      <c r="A160" s="36">
        <f t="shared" si="2"/>
      </c>
      <c r="B160" s="128">
        <f>IF(AND($C160&gt;0)*($C160&lt;&gt;$C159),MAX($B$9:$B159)+1,"")</f>
      </c>
      <c r="C160" s="78"/>
      <c r="D160" s="83"/>
      <c r="E160" s="79"/>
      <c r="F160" s="80"/>
      <c r="G160" s="147" t="e">
        <f>VLOOKUP(F160,'Học viên- BC nợ học phí'!$C$7:$D$56,2,0)</f>
        <v>#N/A</v>
      </c>
      <c r="H160" s="81"/>
      <c r="I160" s="82"/>
    </row>
    <row r="161" spans="1:9" s="36" customFormat="1" ht="15" customHeight="1">
      <c r="A161" s="36">
        <f t="shared" si="2"/>
      </c>
      <c r="B161" s="128">
        <f>IF(AND($C161&gt;0)*($C161&lt;&gt;$C160),MAX($B$9:$B160)+1,"")</f>
      </c>
      <c r="C161" s="78"/>
      <c r="D161" s="83"/>
      <c r="E161" s="79"/>
      <c r="F161" s="80"/>
      <c r="G161" s="147" t="e">
        <f>VLOOKUP(F161,'Học viên- BC nợ học phí'!$C$7:$D$56,2,0)</f>
        <v>#N/A</v>
      </c>
      <c r="H161" s="81"/>
      <c r="I161" s="82"/>
    </row>
    <row r="162" spans="1:9" s="36" customFormat="1" ht="15" customHeight="1">
      <c r="A162" s="36">
        <f t="shared" si="2"/>
      </c>
      <c r="B162" s="128">
        <f>IF(AND($C162&gt;0)*($C162&lt;&gt;$C161),MAX($B$9:$B161)+1,"")</f>
      </c>
      <c r="C162" s="78"/>
      <c r="D162" s="83"/>
      <c r="E162" s="79"/>
      <c r="F162" s="80"/>
      <c r="G162" s="147" t="e">
        <f>VLOOKUP(F162,'Học viên- BC nợ học phí'!$C$7:$D$56,2,0)</f>
        <v>#N/A</v>
      </c>
      <c r="H162" s="81"/>
      <c r="I162" s="82"/>
    </row>
    <row r="163" spans="1:9" s="36" customFormat="1" ht="15" customHeight="1">
      <c r="A163" s="36">
        <f t="shared" si="2"/>
      </c>
      <c r="B163" s="128">
        <f>IF(AND($C163&gt;0)*($C163&lt;&gt;$C162),MAX($B$9:$B162)+1,"")</f>
      </c>
      <c r="C163" s="78"/>
      <c r="D163" s="83"/>
      <c r="E163" s="79"/>
      <c r="F163" s="80"/>
      <c r="G163" s="147" t="e">
        <f>VLOOKUP(F163,'Học viên- BC nợ học phí'!$C$7:$D$56,2,0)</f>
        <v>#N/A</v>
      </c>
      <c r="H163" s="81"/>
      <c r="I163" s="82"/>
    </row>
    <row r="164" spans="1:9" s="36" customFormat="1" ht="15" customHeight="1">
      <c r="A164" s="36">
        <f t="shared" si="2"/>
      </c>
      <c r="B164" s="128">
        <f>IF(AND($C164&gt;0)*($C164&lt;&gt;$C163),MAX($B$9:$B163)+1,"")</f>
      </c>
      <c r="C164" s="78"/>
      <c r="D164" s="83"/>
      <c r="E164" s="79"/>
      <c r="F164" s="80"/>
      <c r="G164" s="147" t="e">
        <f>VLOOKUP(F164,'Học viên- BC nợ học phí'!$C$7:$D$56,2,0)</f>
        <v>#N/A</v>
      </c>
      <c r="H164" s="81"/>
      <c r="I164" s="82"/>
    </row>
    <row r="165" spans="1:9" s="36" customFormat="1" ht="15" customHeight="1">
      <c r="A165" s="36">
        <f t="shared" si="2"/>
      </c>
      <c r="B165" s="128">
        <f>IF(AND($C165&gt;0)*($C165&lt;&gt;$C164),MAX($B$9:$B164)+1,"")</f>
      </c>
      <c r="C165" s="78"/>
      <c r="D165" s="83"/>
      <c r="E165" s="79"/>
      <c r="F165" s="80"/>
      <c r="G165" s="147" t="e">
        <f>VLOOKUP(F165,'Học viên- BC nợ học phí'!$C$7:$D$56,2,0)</f>
        <v>#N/A</v>
      </c>
      <c r="H165" s="81"/>
      <c r="I165" s="82"/>
    </row>
    <row r="166" spans="1:9" s="36" customFormat="1" ht="15" customHeight="1">
      <c r="A166" s="36">
        <f t="shared" si="2"/>
      </c>
      <c r="B166" s="128">
        <f>IF(AND($C166&gt;0)*($C166&lt;&gt;$C165),MAX($B$9:$B165)+1,"")</f>
      </c>
      <c r="C166" s="78"/>
      <c r="D166" s="83"/>
      <c r="E166" s="79"/>
      <c r="F166" s="80"/>
      <c r="G166" s="147" t="e">
        <f>VLOOKUP(F166,'Học viên- BC nợ học phí'!$C$7:$D$56,2,0)</f>
        <v>#N/A</v>
      </c>
      <c r="H166" s="81"/>
      <c r="I166" s="82"/>
    </row>
    <row r="167" spans="1:9" s="36" customFormat="1" ht="15" customHeight="1">
      <c r="A167" s="36">
        <f t="shared" si="2"/>
      </c>
      <c r="B167" s="128">
        <f>IF(AND($C167&gt;0)*($C167&lt;&gt;$C166),MAX($B$9:$B166)+1,"")</f>
      </c>
      <c r="C167" s="78"/>
      <c r="D167" s="83"/>
      <c r="E167" s="79"/>
      <c r="F167" s="80"/>
      <c r="G167" s="147" t="e">
        <f>VLOOKUP(F167,'Học viên- BC nợ học phí'!$C$7:$D$56,2,0)</f>
        <v>#N/A</v>
      </c>
      <c r="H167" s="81"/>
      <c r="I167" s="82"/>
    </row>
    <row r="168" spans="1:9" s="36" customFormat="1" ht="15" customHeight="1">
      <c r="A168" s="36">
        <f t="shared" si="2"/>
      </c>
      <c r="B168" s="128">
        <f>IF(AND($C168&gt;0)*($C168&lt;&gt;$C167),MAX($B$9:$B167)+1,"")</f>
      </c>
      <c r="C168" s="78"/>
      <c r="D168" s="83"/>
      <c r="E168" s="79"/>
      <c r="F168" s="80"/>
      <c r="G168" s="147" t="e">
        <f>VLOOKUP(F168,'Học viên- BC nợ học phí'!$C$7:$D$56,2,0)</f>
        <v>#N/A</v>
      </c>
      <c r="H168" s="81"/>
      <c r="I168" s="82"/>
    </row>
    <row r="169" spans="1:9" s="36" customFormat="1" ht="15" customHeight="1">
      <c r="A169" s="36">
        <f t="shared" si="2"/>
      </c>
      <c r="B169" s="128">
        <f>IF(AND($C169&gt;0)*($C169&lt;&gt;$C168),MAX($B$9:$B168)+1,"")</f>
      </c>
      <c r="C169" s="78"/>
      <c r="D169" s="83"/>
      <c r="E169" s="79"/>
      <c r="F169" s="80"/>
      <c r="G169" s="147" t="e">
        <f>VLOOKUP(F169,'Học viên- BC nợ học phí'!$C$7:$D$56,2,0)</f>
        <v>#N/A</v>
      </c>
      <c r="H169" s="81"/>
      <c r="I169" s="82"/>
    </row>
    <row r="170" spans="1:9" s="36" customFormat="1" ht="15" customHeight="1">
      <c r="A170" s="36">
        <f t="shared" si="2"/>
      </c>
      <c r="B170" s="128">
        <f>IF(AND($C170&gt;0)*($C170&lt;&gt;$C169),MAX($B$9:$B169)+1,"")</f>
      </c>
      <c r="C170" s="78"/>
      <c r="D170" s="83"/>
      <c r="E170" s="79"/>
      <c r="F170" s="80"/>
      <c r="G170" s="147" t="e">
        <f>VLOOKUP(F170,'Học viên- BC nợ học phí'!$C$7:$D$56,2,0)</f>
        <v>#N/A</v>
      </c>
      <c r="H170" s="81"/>
      <c r="I170" s="82"/>
    </row>
    <row r="171" spans="1:9" s="36" customFormat="1" ht="15" customHeight="1">
      <c r="A171" s="36">
        <f t="shared" si="2"/>
      </c>
      <c r="B171" s="128">
        <f>IF(AND($C171&gt;0)*($C171&lt;&gt;$C170),MAX($B$9:$B170)+1,"")</f>
      </c>
      <c r="C171" s="78"/>
      <c r="D171" s="83"/>
      <c r="E171" s="79"/>
      <c r="F171" s="80"/>
      <c r="G171" s="147" t="e">
        <f>VLOOKUP(F171,'Học viên- BC nợ học phí'!$C$7:$D$56,2,0)</f>
        <v>#N/A</v>
      </c>
      <c r="H171" s="81"/>
      <c r="I171" s="82"/>
    </row>
    <row r="172" spans="1:9" s="36" customFormat="1" ht="15" customHeight="1">
      <c r="A172" s="36">
        <f t="shared" si="2"/>
      </c>
      <c r="B172" s="128">
        <f>IF(AND($C172&gt;0)*($C172&lt;&gt;$C171),MAX($B$9:$B171)+1,"")</f>
      </c>
      <c r="C172" s="78"/>
      <c r="D172" s="83"/>
      <c r="E172" s="79"/>
      <c r="F172" s="80"/>
      <c r="G172" s="147" t="e">
        <f>VLOOKUP(F172,'Học viên- BC nợ học phí'!$C$7:$D$56,2,0)</f>
        <v>#N/A</v>
      </c>
      <c r="H172" s="81"/>
      <c r="I172" s="82"/>
    </row>
    <row r="173" spans="1:9" s="36" customFormat="1" ht="15" customHeight="1">
      <c r="A173" s="36">
        <f t="shared" si="2"/>
      </c>
      <c r="B173" s="128">
        <f>IF(AND($C173&gt;0)*($C173&lt;&gt;$C172),MAX($B$9:$B172)+1,"")</f>
      </c>
      <c r="C173" s="78"/>
      <c r="D173" s="83"/>
      <c r="E173" s="79"/>
      <c r="F173" s="80"/>
      <c r="G173" s="147" t="e">
        <f>VLOOKUP(F173,'Học viên- BC nợ học phí'!$C$7:$D$56,2,0)</f>
        <v>#N/A</v>
      </c>
      <c r="H173" s="81"/>
      <c r="I173" s="82"/>
    </row>
    <row r="174" spans="1:9" s="36" customFormat="1" ht="15" customHeight="1">
      <c r="A174" s="36">
        <f t="shared" si="2"/>
      </c>
      <c r="B174" s="128">
        <f>IF(AND($C174&gt;0)*($C174&lt;&gt;$C173),MAX($B$9:$B173)+1,"")</f>
      </c>
      <c r="C174" s="78"/>
      <c r="D174" s="83"/>
      <c r="E174" s="79"/>
      <c r="F174" s="80"/>
      <c r="G174" s="147" t="e">
        <f>VLOOKUP(F174,'Học viên- BC nợ học phí'!$C$7:$D$56,2,0)</f>
        <v>#N/A</v>
      </c>
      <c r="H174" s="81"/>
      <c r="I174" s="82"/>
    </row>
    <row r="175" spans="1:9" s="36" customFormat="1" ht="15" customHeight="1">
      <c r="A175" s="36">
        <f t="shared" si="2"/>
      </c>
      <c r="B175" s="128">
        <f>IF(AND($C175&gt;0)*($C175&lt;&gt;$C174),MAX($B$9:$B174)+1,"")</f>
      </c>
      <c r="C175" s="78"/>
      <c r="D175" s="83"/>
      <c r="E175" s="79"/>
      <c r="F175" s="80"/>
      <c r="G175" s="147" t="e">
        <f>VLOOKUP(F175,'Học viên- BC nợ học phí'!$C$7:$D$56,2,0)</f>
        <v>#N/A</v>
      </c>
      <c r="H175" s="81"/>
      <c r="I175" s="82"/>
    </row>
    <row r="176" spans="1:9" s="36" customFormat="1" ht="15" customHeight="1">
      <c r="A176" s="36">
        <f t="shared" si="2"/>
      </c>
      <c r="B176" s="128">
        <f>IF(AND($C176&gt;0)*($C176&lt;&gt;$C175),MAX($B$9:$B175)+1,"")</f>
      </c>
      <c r="C176" s="78"/>
      <c r="D176" s="83"/>
      <c r="E176" s="79"/>
      <c r="F176" s="80"/>
      <c r="G176" s="147" t="e">
        <f>VLOOKUP(F176,'Học viên- BC nợ học phí'!$C$7:$D$56,2,0)</f>
        <v>#N/A</v>
      </c>
      <c r="H176" s="81"/>
      <c r="I176" s="82"/>
    </row>
    <row r="177" spans="1:9" s="36" customFormat="1" ht="15" customHeight="1">
      <c r="A177" s="36">
        <f t="shared" si="2"/>
      </c>
      <c r="B177" s="128">
        <f>IF(AND($C177&gt;0)*($C177&lt;&gt;$C176),MAX($B$9:$B176)+1,"")</f>
      </c>
      <c r="C177" s="78"/>
      <c r="D177" s="83"/>
      <c r="E177" s="79"/>
      <c r="F177" s="80"/>
      <c r="G177" s="147" t="e">
        <f>VLOOKUP(F177,'Học viên- BC nợ học phí'!$C$7:$D$56,2,0)</f>
        <v>#N/A</v>
      </c>
      <c r="H177" s="81"/>
      <c r="I177" s="82"/>
    </row>
    <row r="178" spans="1:9" s="36" customFormat="1" ht="15" customHeight="1">
      <c r="A178" s="36">
        <f t="shared" si="2"/>
      </c>
      <c r="B178" s="128">
        <f>IF(AND($C178&gt;0)*($C178&lt;&gt;$C177),MAX($B$9:$B177)+1,"")</f>
      </c>
      <c r="C178" s="78"/>
      <c r="D178" s="83"/>
      <c r="E178" s="79"/>
      <c r="F178" s="80"/>
      <c r="G178" s="147" t="e">
        <f>VLOOKUP(F178,'Học viên- BC nợ học phí'!$C$7:$D$56,2,0)</f>
        <v>#N/A</v>
      </c>
      <c r="H178" s="81"/>
      <c r="I178" s="82"/>
    </row>
    <row r="179" spans="1:9" s="36" customFormat="1" ht="15" customHeight="1">
      <c r="A179" s="36">
        <f t="shared" si="2"/>
      </c>
      <c r="B179" s="128">
        <f>IF(AND($C179&gt;0)*($C179&lt;&gt;$C178),MAX($B$9:$B178)+1,"")</f>
      </c>
      <c r="C179" s="78"/>
      <c r="D179" s="83"/>
      <c r="E179" s="79"/>
      <c r="F179" s="80"/>
      <c r="G179" s="147" t="e">
        <f>VLOOKUP(F179,'Học viên- BC nợ học phí'!$C$7:$D$56,2,0)</f>
        <v>#N/A</v>
      </c>
      <c r="H179" s="81"/>
      <c r="I179" s="82"/>
    </row>
    <row r="180" spans="1:9" s="36" customFormat="1" ht="15" customHeight="1">
      <c r="A180" s="36">
        <f t="shared" si="2"/>
      </c>
      <c r="B180" s="128">
        <f>IF(AND($C180&gt;0)*($C180&lt;&gt;$C179),MAX($B$9:$B179)+1,"")</f>
      </c>
      <c r="C180" s="78"/>
      <c r="D180" s="83"/>
      <c r="E180" s="79"/>
      <c r="F180" s="80"/>
      <c r="G180" s="147" t="e">
        <f>VLOOKUP(F180,'Học viên- BC nợ học phí'!$C$7:$D$56,2,0)</f>
        <v>#N/A</v>
      </c>
      <c r="H180" s="81"/>
      <c r="I180" s="82"/>
    </row>
    <row r="181" spans="1:9" s="36" customFormat="1" ht="15" customHeight="1">
      <c r="A181" s="36">
        <f t="shared" si="2"/>
      </c>
      <c r="B181" s="128">
        <f>IF(AND($C181&gt;0)*($C181&lt;&gt;$C180),MAX($B$9:$B180)+1,"")</f>
      </c>
      <c r="C181" s="78"/>
      <c r="D181" s="83"/>
      <c r="E181" s="79"/>
      <c r="F181" s="80"/>
      <c r="G181" s="147" t="e">
        <f>VLOOKUP(F181,'Học viên- BC nợ học phí'!$C$7:$D$56,2,0)</f>
        <v>#N/A</v>
      </c>
      <c r="H181" s="140"/>
      <c r="I181" s="82"/>
    </row>
    <row r="182" spans="1:9" s="36" customFormat="1" ht="15" customHeight="1">
      <c r="A182" s="36">
        <f t="shared" si="2"/>
      </c>
      <c r="B182" s="128">
        <f>IF(AND($C182&gt;0)*($C182&lt;&gt;$C181),MAX($B$9:$B181)+1,"")</f>
      </c>
      <c r="C182" s="78"/>
      <c r="D182" s="83"/>
      <c r="E182" s="79"/>
      <c r="F182" s="80"/>
      <c r="G182" s="147" t="e">
        <f>VLOOKUP(F182,'Học viên- BC nợ học phí'!$C$7:$D$56,2,0)</f>
        <v>#N/A</v>
      </c>
      <c r="H182" s="138"/>
      <c r="I182" s="82"/>
    </row>
    <row r="183" spans="1:9" s="36" customFormat="1" ht="15" customHeight="1">
      <c r="A183" s="36">
        <f t="shared" si="2"/>
      </c>
      <c r="B183" s="128">
        <f>IF(AND($C183&gt;0)*($C183&lt;&gt;$C182),MAX($B$9:$B182)+1,"")</f>
      </c>
      <c r="C183" s="78"/>
      <c r="D183" s="83"/>
      <c r="E183" s="79"/>
      <c r="F183" s="80"/>
      <c r="G183" s="147" t="e">
        <f>VLOOKUP(F183,'Học viên- BC nợ học phí'!$C$7:$D$56,2,0)</f>
        <v>#N/A</v>
      </c>
      <c r="H183" s="81"/>
      <c r="I183" s="82"/>
    </row>
    <row r="184" spans="1:9" s="36" customFormat="1" ht="15" customHeight="1">
      <c r="A184" s="36">
        <f t="shared" si="2"/>
      </c>
      <c r="B184" s="128">
        <f>IF(AND($C184&gt;0)*($C184&lt;&gt;$C183),MAX($B$9:$B183)+1,"")</f>
      </c>
      <c r="C184" s="78"/>
      <c r="D184" s="83"/>
      <c r="E184" s="79"/>
      <c r="F184" s="80"/>
      <c r="G184" s="147" t="e">
        <f>VLOOKUP(F184,'Học viên- BC nợ học phí'!$C$7:$D$56,2,0)</f>
        <v>#N/A</v>
      </c>
      <c r="H184" s="81"/>
      <c r="I184" s="82"/>
    </row>
    <row r="185" spans="1:9" s="36" customFormat="1" ht="15" customHeight="1">
      <c r="A185" s="36">
        <f t="shared" si="2"/>
      </c>
      <c r="B185" s="128">
        <f>IF(AND($C185&gt;0)*($C185&lt;&gt;$C184),MAX($B$9:$B184)+1,"")</f>
      </c>
      <c r="C185" s="78"/>
      <c r="D185" s="83"/>
      <c r="E185" s="79"/>
      <c r="F185" s="80"/>
      <c r="G185" s="147" t="e">
        <f>VLOOKUP(F185,'Học viên- BC nợ học phí'!$C$7:$D$56,2,0)</f>
        <v>#N/A</v>
      </c>
      <c r="H185" s="81"/>
      <c r="I185" s="82"/>
    </row>
    <row r="186" spans="1:9" s="36" customFormat="1" ht="15" customHeight="1">
      <c r="A186" s="36">
        <f t="shared" si="2"/>
      </c>
      <c r="B186" s="128">
        <f>IF(AND($C186&gt;0)*($C186&lt;&gt;$C185),MAX($B$9:$B185)+1,"")</f>
      </c>
      <c r="C186" s="78"/>
      <c r="D186" s="83"/>
      <c r="E186" s="79"/>
      <c r="F186" s="80"/>
      <c r="G186" s="147" t="e">
        <f>VLOOKUP(F186,'Học viên- BC nợ học phí'!$C$7:$D$56,2,0)</f>
        <v>#N/A</v>
      </c>
      <c r="H186" s="81"/>
      <c r="I186" s="82"/>
    </row>
    <row r="187" spans="1:9" s="36" customFormat="1" ht="15" customHeight="1">
      <c r="A187" s="36">
        <f t="shared" si="2"/>
      </c>
      <c r="B187" s="128">
        <f>IF(AND($C187&gt;0)*($C187&lt;&gt;$C186),MAX($B$9:$B186)+1,"")</f>
      </c>
      <c r="C187" s="78"/>
      <c r="D187" s="83"/>
      <c r="E187" s="79"/>
      <c r="F187" s="80"/>
      <c r="G187" s="147" t="e">
        <f>VLOOKUP(F187,'Học viên- BC nợ học phí'!$C$7:$D$56,2,0)</f>
        <v>#N/A</v>
      </c>
      <c r="H187" s="81"/>
      <c r="I187" s="82"/>
    </row>
    <row r="188" spans="1:9" s="36" customFormat="1" ht="15" customHeight="1">
      <c r="A188" s="36">
        <f t="shared" si="2"/>
      </c>
      <c r="B188" s="128">
        <f>IF(AND($C188&gt;0)*($C188&lt;&gt;$C187),MAX($B$9:$B187)+1,"")</f>
      </c>
      <c r="C188" s="78"/>
      <c r="D188" s="83"/>
      <c r="E188" s="79"/>
      <c r="F188" s="80"/>
      <c r="G188" s="147" t="e">
        <f>VLOOKUP(F188,'Học viên- BC nợ học phí'!$C$7:$D$56,2,0)</f>
        <v>#N/A</v>
      </c>
      <c r="H188" s="81"/>
      <c r="I188" s="82"/>
    </row>
    <row r="189" spans="1:9" s="36" customFormat="1" ht="15" customHeight="1">
      <c r="A189" s="36">
        <f t="shared" si="2"/>
      </c>
      <c r="B189" s="128">
        <f>IF(AND($C189&gt;0)*($C189&lt;&gt;$C188),MAX($B$9:$B188)+1,"")</f>
      </c>
      <c r="C189" s="78"/>
      <c r="D189" s="83"/>
      <c r="E189" s="79"/>
      <c r="F189" s="80"/>
      <c r="G189" s="147" t="e">
        <f>VLOOKUP(F189,'Học viên- BC nợ học phí'!$C$7:$D$56,2,0)</f>
        <v>#N/A</v>
      </c>
      <c r="H189" s="81"/>
      <c r="I189" s="82"/>
    </row>
    <row r="190" spans="1:9" s="36" customFormat="1" ht="15" customHeight="1">
      <c r="A190" s="36">
        <f t="shared" si="2"/>
      </c>
      <c r="B190" s="128">
        <f>IF(AND($C190&gt;0)*($C190&lt;&gt;$C189),MAX($B$9:$B189)+1,"")</f>
      </c>
      <c r="C190" s="78"/>
      <c r="D190" s="83"/>
      <c r="E190" s="79"/>
      <c r="F190" s="80"/>
      <c r="G190" s="147" t="e">
        <f>VLOOKUP(F190,'Học viên- BC nợ học phí'!$C$7:$D$56,2,0)</f>
        <v>#N/A</v>
      </c>
      <c r="H190" s="81"/>
      <c r="I190" s="82"/>
    </row>
    <row r="191" spans="1:9" s="36" customFormat="1" ht="15" customHeight="1">
      <c r="A191" s="36">
        <f t="shared" si="2"/>
      </c>
      <c r="B191" s="128">
        <f>IF(AND($C191&gt;0)*($C191&lt;&gt;$C190),MAX($B$9:$B190)+1,"")</f>
      </c>
      <c r="C191" s="78"/>
      <c r="D191" s="83"/>
      <c r="E191" s="79"/>
      <c r="F191" s="80"/>
      <c r="G191" s="147" t="e">
        <f>VLOOKUP(F191,'Học viên- BC nợ học phí'!$C$7:$D$56,2,0)</f>
        <v>#N/A</v>
      </c>
      <c r="H191" s="81"/>
      <c r="I191" s="82"/>
    </row>
    <row r="192" spans="1:9" s="36" customFormat="1" ht="15" customHeight="1">
      <c r="A192" s="36">
        <f t="shared" si="2"/>
      </c>
      <c r="B192" s="128">
        <f>IF(AND($C192&gt;0)*($C192&lt;&gt;$C191),MAX($B$9:$B191)+1,"")</f>
      </c>
      <c r="C192" s="78"/>
      <c r="D192" s="83"/>
      <c r="E192" s="79"/>
      <c r="F192" s="80"/>
      <c r="G192" s="147" t="e">
        <f>VLOOKUP(F192,'Học viên- BC nợ học phí'!$C$7:$D$56,2,0)</f>
        <v>#N/A</v>
      </c>
      <c r="H192" s="81"/>
      <c r="I192" s="82"/>
    </row>
    <row r="193" spans="1:9" s="36" customFormat="1" ht="15" customHeight="1">
      <c r="A193" s="36">
        <f t="shared" si="2"/>
      </c>
      <c r="B193" s="128">
        <f>IF(AND($C193&gt;0)*($C193&lt;&gt;$C192),MAX($B$9:$B192)+1,"")</f>
      </c>
      <c r="C193" s="78"/>
      <c r="D193" s="83"/>
      <c r="E193" s="79"/>
      <c r="F193" s="80"/>
      <c r="G193" s="147" t="e">
        <f>VLOOKUP(F193,'Học viên- BC nợ học phí'!$C$7:$D$56,2,0)</f>
        <v>#N/A</v>
      </c>
      <c r="H193" s="81"/>
      <c r="I193" s="82"/>
    </row>
    <row r="194" spans="1:9" s="36" customFormat="1" ht="15" customHeight="1">
      <c r="A194" s="36">
        <f t="shared" si="2"/>
      </c>
      <c r="B194" s="128">
        <f>IF(AND($C194&gt;0)*($C194&lt;&gt;$C193),MAX($B$9:$B193)+1,"")</f>
      </c>
      <c r="C194" s="78"/>
      <c r="D194" s="83"/>
      <c r="E194" s="79"/>
      <c r="F194" s="80"/>
      <c r="G194" s="147" t="e">
        <f>VLOOKUP(F194,'Học viên- BC nợ học phí'!$C$7:$D$56,2,0)</f>
        <v>#N/A</v>
      </c>
      <c r="H194" s="81"/>
      <c r="I194" s="82"/>
    </row>
    <row r="195" spans="1:9" s="36" customFormat="1" ht="15" customHeight="1">
      <c r="A195" s="36">
        <f t="shared" si="2"/>
      </c>
      <c r="B195" s="128">
        <f>IF(AND($C195&gt;0)*($C195&lt;&gt;$C194),MAX($B$9:$B194)+1,"")</f>
      </c>
      <c r="C195" s="78"/>
      <c r="D195" s="83"/>
      <c r="E195" s="79"/>
      <c r="F195" s="80"/>
      <c r="G195" s="147" t="e">
        <f>VLOOKUP(F195,'Học viên- BC nợ học phí'!$C$7:$D$56,2,0)</f>
        <v>#N/A</v>
      </c>
      <c r="H195" s="81"/>
      <c r="I195" s="82"/>
    </row>
    <row r="196" spans="1:9" s="36" customFormat="1" ht="15" customHeight="1">
      <c r="A196" s="36">
        <f t="shared" si="2"/>
      </c>
      <c r="B196" s="128">
        <f>IF(AND($C196&gt;0)*($C196&lt;&gt;$C195),MAX($B$9:$B195)+1,"")</f>
      </c>
      <c r="C196" s="78"/>
      <c r="D196" s="83"/>
      <c r="E196" s="79"/>
      <c r="F196" s="80"/>
      <c r="G196" s="147" t="e">
        <f>VLOOKUP(F196,'Học viên- BC nợ học phí'!$C$7:$D$56,2,0)</f>
        <v>#N/A</v>
      </c>
      <c r="H196" s="81"/>
      <c r="I196" s="82"/>
    </row>
    <row r="197" spans="1:9" s="36" customFormat="1" ht="15" customHeight="1">
      <c r="A197" s="36">
        <f t="shared" si="2"/>
      </c>
      <c r="B197" s="128">
        <f>IF(AND($C197&gt;0)*($C197&lt;&gt;$C196),MAX($B$9:$B196)+1,"")</f>
      </c>
      <c r="C197" s="78"/>
      <c r="D197" s="83"/>
      <c r="E197" s="79"/>
      <c r="F197" s="80"/>
      <c r="G197" s="147" t="e">
        <f>VLOOKUP(F197,'Học viên- BC nợ học phí'!$C$7:$D$56,2,0)</f>
        <v>#N/A</v>
      </c>
      <c r="H197" s="81"/>
      <c r="I197" s="82"/>
    </row>
    <row r="198" spans="1:9" s="36" customFormat="1" ht="15" customHeight="1">
      <c r="A198" s="36">
        <f t="shared" si="2"/>
      </c>
      <c r="B198" s="128">
        <f>IF(AND($C198&gt;0)*($C198&lt;&gt;$C197),MAX($B$9:$B197)+1,"")</f>
      </c>
      <c r="C198" s="78"/>
      <c r="D198" s="83"/>
      <c r="E198" s="79"/>
      <c r="F198" s="80"/>
      <c r="G198" s="147" t="e">
        <f>VLOOKUP(F198,'Học viên- BC nợ học phí'!$C$7:$D$56,2,0)</f>
        <v>#N/A</v>
      </c>
      <c r="H198" s="81"/>
      <c r="I198" s="82"/>
    </row>
    <row r="199" spans="1:9" s="36" customFormat="1" ht="15" customHeight="1">
      <c r="A199" s="36">
        <f t="shared" si="2"/>
      </c>
      <c r="B199" s="128">
        <f>IF(AND($C199&gt;0)*($C199&lt;&gt;$C198),MAX($B$9:$B198)+1,"")</f>
      </c>
      <c r="C199" s="119"/>
      <c r="D199" s="125"/>
      <c r="E199" s="151"/>
      <c r="F199" s="80"/>
      <c r="G199" s="147" t="e">
        <f>VLOOKUP(F199,'Học viên- BC nợ học phí'!$C$7:$D$56,2,0)</f>
        <v>#N/A</v>
      </c>
      <c r="H199" s="91"/>
      <c r="I199" s="82"/>
    </row>
    <row r="200" spans="1:9" s="36" customFormat="1" ht="15" customHeight="1">
      <c r="A200" s="36">
        <f t="shared" si="2"/>
      </c>
      <c r="B200" s="128">
        <f>IF(AND($C200&gt;0)*($C200&lt;&gt;$C199),MAX($B$9:$B199)+1,"")</f>
      </c>
      <c r="C200" s="119"/>
      <c r="D200" s="125"/>
      <c r="E200" s="151"/>
      <c r="F200" s="80"/>
      <c r="G200" s="147" t="e">
        <f>VLOOKUP(F200,'Học viên- BC nợ học phí'!$C$7:$D$56,2,0)</f>
        <v>#N/A</v>
      </c>
      <c r="H200" s="91"/>
      <c r="I200" s="82"/>
    </row>
    <row r="201" spans="1:9" s="36" customFormat="1" ht="15" customHeight="1">
      <c r="A201" s="36">
        <f t="shared" si="2"/>
      </c>
      <c r="B201" s="128">
        <f>IF(AND($C201&gt;0)*($C201&lt;&gt;$C200),MAX($B$9:$B200)+1,"")</f>
      </c>
      <c r="C201" s="119"/>
      <c r="D201" s="125"/>
      <c r="E201" s="151"/>
      <c r="F201" s="80"/>
      <c r="G201" s="147" t="e">
        <f>VLOOKUP(F201,'Học viên- BC nợ học phí'!$C$7:$D$56,2,0)</f>
        <v>#N/A</v>
      </c>
      <c r="H201" s="91"/>
      <c r="I201" s="82"/>
    </row>
    <row r="202" spans="1:9" s="36" customFormat="1" ht="15" customHeight="1">
      <c r="A202" s="36">
        <f aca="true" t="shared" si="3" ref="A202:A222">F202&amp;I202</f>
      </c>
      <c r="B202" s="128">
        <f>IF(AND($C202&gt;0)*($C202&lt;&gt;$C201),MAX($B$9:$B201)+1,"")</f>
      </c>
      <c r="C202" s="119"/>
      <c r="D202" s="125"/>
      <c r="E202" s="151"/>
      <c r="F202" s="80"/>
      <c r="G202" s="147" t="e">
        <f>VLOOKUP(F202,'Học viên- BC nợ học phí'!$C$7:$D$56,2,0)</f>
        <v>#N/A</v>
      </c>
      <c r="H202" s="91"/>
      <c r="I202" s="82"/>
    </row>
    <row r="203" spans="1:9" s="36" customFormat="1" ht="15" customHeight="1">
      <c r="A203" s="36">
        <f t="shared" si="3"/>
      </c>
      <c r="B203" s="128">
        <f>IF(AND($C203&gt;0)*($C203&lt;&gt;$C202),MAX($B$9:$B202)+1,"")</f>
      </c>
      <c r="C203" s="119"/>
      <c r="D203" s="125"/>
      <c r="E203" s="151"/>
      <c r="F203" s="80"/>
      <c r="G203" s="147" t="e">
        <f>VLOOKUP(F203,'Học viên- BC nợ học phí'!$C$7:$D$56,2,0)</f>
        <v>#N/A</v>
      </c>
      <c r="H203" s="91"/>
      <c r="I203" s="82"/>
    </row>
    <row r="204" spans="1:9" s="36" customFormat="1" ht="15" customHeight="1">
      <c r="A204" s="36">
        <f t="shared" si="3"/>
      </c>
      <c r="B204" s="128">
        <f>IF(AND($C204&gt;0)*($C204&lt;&gt;$C203),MAX($B$9:$B203)+1,"")</f>
      </c>
      <c r="C204" s="119"/>
      <c r="D204" s="125"/>
      <c r="E204" s="151"/>
      <c r="F204" s="80"/>
      <c r="G204" s="147" t="e">
        <f>VLOOKUP(F204,'Học viên- BC nợ học phí'!$C$7:$D$56,2,0)</f>
        <v>#N/A</v>
      </c>
      <c r="H204" s="91"/>
      <c r="I204" s="82"/>
    </row>
    <row r="205" spans="1:9" s="36" customFormat="1" ht="15" customHeight="1">
      <c r="A205" s="36">
        <f t="shared" si="3"/>
      </c>
      <c r="B205" s="128">
        <f>IF(AND($C205&gt;0)*($C205&lt;&gt;$C204),MAX($B$9:$B204)+1,"")</f>
      </c>
      <c r="C205" s="119"/>
      <c r="D205" s="125"/>
      <c r="E205" s="151"/>
      <c r="F205" s="80"/>
      <c r="G205" s="147" t="e">
        <f>VLOOKUP(F205,'Học viên- BC nợ học phí'!$C$7:$D$56,2,0)</f>
        <v>#N/A</v>
      </c>
      <c r="H205" s="91"/>
      <c r="I205" s="82"/>
    </row>
    <row r="206" spans="1:9" s="36" customFormat="1" ht="15" customHeight="1">
      <c r="A206" s="36">
        <f t="shared" si="3"/>
      </c>
      <c r="B206" s="128">
        <f>IF(AND($C206&gt;0)*($C206&lt;&gt;$C205),MAX($B$9:$B205)+1,"")</f>
      </c>
      <c r="C206" s="119"/>
      <c r="D206" s="125"/>
      <c r="E206" s="151"/>
      <c r="F206" s="80"/>
      <c r="G206" s="147" t="e">
        <f>VLOOKUP(F206,'Học viên- BC nợ học phí'!$C$7:$D$56,2,0)</f>
        <v>#N/A</v>
      </c>
      <c r="H206" s="91"/>
      <c r="I206" s="82"/>
    </row>
    <row r="207" spans="1:9" s="36" customFormat="1" ht="15" customHeight="1">
      <c r="A207" s="36">
        <f t="shared" si="3"/>
      </c>
      <c r="B207" s="128">
        <f>IF(AND($C207&gt;0)*($C207&lt;&gt;$C206),MAX($B$9:$B206)+1,"")</f>
      </c>
      <c r="C207" s="119"/>
      <c r="D207" s="125"/>
      <c r="E207" s="151"/>
      <c r="F207" s="80"/>
      <c r="G207" s="147" t="e">
        <f>VLOOKUP(F207,'Học viên- BC nợ học phí'!$C$7:$D$56,2,0)</f>
        <v>#N/A</v>
      </c>
      <c r="H207" s="91"/>
      <c r="I207" s="82"/>
    </row>
    <row r="208" spans="1:9" s="36" customFormat="1" ht="15" customHeight="1">
      <c r="A208" s="36">
        <f t="shared" si="3"/>
      </c>
      <c r="B208" s="128">
        <f>IF(AND($C208&gt;0)*($C208&lt;&gt;$C207),MAX($B$9:$B207)+1,"")</f>
      </c>
      <c r="C208" s="119"/>
      <c r="D208" s="125"/>
      <c r="E208" s="151"/>
      <c r="F208" s="80"/>
      <c r="G208" s="147" t="e">
        <f>VLOOKUP(F208,'Học viên- BC nợ học phí'!$C$7:$D$56,2,0)</f>
        <v>#N/A</v>
      </c>
      <c r="H208" s="91"/>
      <c r="I208" s="82"/>
    </row>
    <row r="209" spans="1:9" s="36" customFormat="1" ht="15" customHeight="1">
      <c r="A209" s="36">
        <f t="shared" si="3"/>
      </c>
      <c r="B209" s="128">
        <f>IF(AND($C209&gt;0)*($C209&lt;&gt;$C208),MAX($B$9:$B208)+1,"")</f>
      </c>
      <c r="C209" s="119"/>
      <c r="D209" s="125"/>
      <c r="E209" s="151"/>
      <c r="F209" s="80"/>
      <c r="G209" s="147" t="e">
        <f>VLOOKUP(F209,'Học viên- BC nợ học phí'!$C$7:$D$56,2,0)</f>
        <v>#N/A</v>
      </c>
      <c r="H209" s="91"/>
      <c r="I209" s="82"/>
    </row>
    <row r="210" spans="1:9" s="36" customFormat="1" ht="15" customHeight="1">
      <c r="A210" s="36">
        <f t="shared" si="3"/>
      </c>
      <c r="B210" s="128">
        <f>IF(AND($C210&gt;0)*($C210&lt;&gt;$C209),MAX($B$9:$B209)+1,"")</f>
      </c>
      <c r="C210" s="119"/>
      <c r="D210" s="125"/>
      <c r="E210" s="151"/>
      <c r="F210" s="80"/>
      <c r="G210" s="147" t="e">
        <f>VLOOKUP(F210,'Học viên- BC nợ học phí'!$C$7:$D$56,2,0)</f>
        <v>#N/A</v>
      </c>
      <c r="H210" s="91"/>
      <c r="I210" s="82"/>
    </row>
    <row r="211" spans="1:9" s="36" customFormat="1" ht="15" customHeight="1">
      <c r="A211" s="36">
        <f t="shared" si="3"/>
      </c>
      <c r="B211" s="128">
        <f>IF(AND($C211&gt;0)*($C211&lt;&gt;$C210),MAX($B$9:$B210)+1,"")</f>
      </c>
      <c r="C211" s="119"/>
      <c r="D211" s="125"/>
      <c r="E211" s="151"/>
      <c r="F211" s="80"/>
      <c r="G211" s="147" t="e">
        <f>VLOOKUP(F211,'Học viên- BC nợ học phí'!$C$7:$D$56,2,0)</f>
        <v>#N/A</v>
      </c>
      <c r="H211" s="91"/>
      <c r="I211" s="82"/>
    </row>
    <row r="212" spans="1:9" s="36" customFormat="1" ht="15" customHeight="1">
      <c r="A212" s="36">
        <f t="shared" si="3"/>
      </c>
      <c r="B212" s="128">
        <f>IF(AND($C212&gt;0)*($C212&lt;&gt;$C211),MAX($B$9:$B211)+1,"")</f>
      </c>
      <c r="C212" s="119"/>
      <c r="D212" s="125"/>
      <c r="E212" s="151"/>
      <c r="F212" s="80"/>
      <c r="G212" s="147" t="e">
        <f>VLOOKUP(F212,'Học viên- BC nợ học phí'!$C$7:$D$56,2,0)</f>
        <v>#N/A</v>
      </c>
      <c r="H212" s="91"/>
      <c r="I212" s="82"/>
    </row>
    <row r="213" spans="1:9" s="36" customFormat="1" ht="12">
      <c r="A213" s="36">
        <f t="shared" si="3"/>
      </c>
      <c r="B213" s="128">
        <f>IF(AND($C213&gt;0)*($C213&lt;&gt;$C212),MAX($B$9:$B212)+1,"")</f>
      </c>
      <c r="C213" s="119"/>
      <c r="D213" s="125"/>
      <c r="E213" s="151"/>
      <c r="F213" s="80"/>
      <c r="G213" s="147" t="e">
        <f>VLOOKUP(F213,'Học viên- BC nợ học phí'!$C$7:$D$56,2,0)</f>
        <v>#N/A</v>
      </c>
      <c r="H213" s="91"/>
      <c r="I213" s="82"/>
    </row>
    <row r="214" spans="1:9" s="36" customFormat="1" ht="12">
      <c r="A214" s="36">
        <f t="shared" si="3"/>
      </c>
      <c r="B214" s="128">
        <f>IF(AND($C214&gt;0)*($C214&lt;&gt;$C213),MAX($B$9:$B213)+1,"")</f>
      </c>
      <c r="C214" s="119"/>
      <c r="D214" s="125"/>
      <c r="E214" s="151"/>
      <c r="F214" s="80"/>
      <c r="G214" s="147" t="e">
        <f>VLOOKUP(F214,'Học viên- BC nợ học phí'!$C$7:$D$56,2,0)</f>
        <v>#N/A</v>
      </c>
      <c r="H214" s="91"/>
      <c r="I214" s="82"/>
    </row>
    <row r="215" spans="1:9" s="36" customFormat="1" ht="12">
      <c r="A215" s="36">
        <f t="shared" si="3"/>
      </c>
      <c r="B215" s="128">
        <f>IF(AND($C215&gt;0)*($C215&lt;&gt;$C214),MAX($B$9:$B214)+1,"")</f>
      </c>
      <c r="C215" s="119"/>
      <c r="D215" s="125"/>
      <c r="E215" s="151"/>
      <c r="F215" s="80"/>
      <c r="G215" s="147" t="e">
        <f>VLOOKUP(F215,'Học viên- BC nợ học phí'!$C$7:$D$56,2,0)</f>
        <v>#N/A</v>
      </c>
      <c r="H215" s="91"/>
      <c r="I215" s="82"/>
    </row>
    <row r="216" spans="1:9" s="36" customFormat="1" ht="12">
      <c r="A216" s="36">
        <f t="shared" si="3"/>
      </c>
      <c r="B216" s="128">
        <f>IF(AND($C216&gt;0)*($C216&lt;&gt;$C215),MAX($B$9:$B215)+1,"")</f>
      </c>
      <c r="C216" s="119"/>
      <c r="D216" s="125"/>
      <c r="E216" s="151"/>
      <c r="F216" s="80"/>
      <c r="G216" s="147" t="e">
        <f>VLOOKUP(F216,'Học viên- BC nợ học phí'!$C$7:$D$56,2,0)</f>
        <v>#N/A</v>
      </c>
      <c r="H216" s="91"/>
      <c r="I216" s="82"/>
    </row>
    <row r="217" spans="1:9" s="36" customFormat="1" ht="12">
      <c r="A217" s="36">
        <f t="shared" si="3"/>
      </c>
      <c r="B217" s="128">
        <f>IF(AND($C217&gt;0)*($C217&lt;&gt;$C216),MAX($B$9:$B216)+1,"")</f>
      </c>
      <c r="C217" s="119"/>
      <c r="D217" s="125"/>
      <c r="E217" s="151"/>
      <c r="F217" s="80"/>
      <c r="G217" s="147" t="e">
        <f>VLOOKUP(F217,'Học viên- BC nợ học phí'!$C$7:$D$56,2,0)</f>
        <v>#N/A</v>
      </c>
      <c r="H217" s="91"/>
      <c r="I217" s="82"/>
    </row>
    <row r="218" spans="1:9" s="36" customFormat="1" ht="12">
      <c r="A218" s="36">
        <f t="shared" si="3"/>
      </c>
      <c r="B218" s="128">
        <f>IF(AND($C218&gt;0)*($C218&lt;&gt;$C217),MAX($B$9:$B217)+1,"")</f>
      </c>
      <c r="C218" s="119"/>
      <c r="D218" s="125"/>
      <c r="E218" s="151"/>
      <c r="F218" s="80"/>
      <c r="G218" s="147" t="e">
        <f>VLOOKUP(F218,'Học viên- BC nợ học phí'!$C$7:$D$56,2,0)</f>
        <v>#N/A</v>
      </c>
      <c r="H218" s="91"/>
      <c r="I218" s="82"/>
    </row>
    <row r="219" spans="1:9" s="36" customFormat="1" ht="12">
      <c r="A219" s="36">
        <f t="shared" si="3"/>
      </c>
      <c r="B219" s="128">
        <f>IF(AND($C219&gt;0)*($C219&lt;&gt;$C218),MAX($B$9:$B218)+1,"")</f>
      </c>
      <c r="C219" s="119"/>
      <c r="D219" s="125"/>
      <c r="E219" s="151"/>
      <c r="F219" s="80"/>
      <c r="G219" s="147" t="e">
        <f>VLOOKUP(F219,'Học viên- BC nợ học phí'!$C$7:$D$56,2,0)</f>
        <v>#N/A</v>
      </c>
      <c r="H219" s="91"/>
      <c r="I219" s="82"/>
    </row>
    <row r="220" spans="1:9" s="36" customFormat="1" ht="12">
      <c r="A220" s="36">
        <f t="shared" si="3"/>
      </c>
      <c r="B220" s="128">
        <f>IF(AND($C220&gt;0)*($C220&lt;&gt;$C219),MAX($B$9:$B219)+1,"")</f>
      </c>
      <c r="C220" s="119"/>
      <c r="D220" s="125"/>
      <c r="E220" s="151"/>
      <c r="F220" s="80"/>
      <c r="G220" s="147" t="e">
        <f>VLOOKUP(F220,'Học viên- BC nợ học phí'!$C$7:$D$56,2,0)</f>
        <v>#N/A</v>
      </c>
      <c r="H220" s="91"/>
      <c r="I220" s="82"/>
    </row>
    <row r="221" spans="1:9" s="36" customFormat="1" ht="12">
      <c r="A221" s="36">
        <f t="shared" si="3"/>
      </c>
      <c r="B221" s="128">
        <f>IF(AND($C221&gt;0)*($C221&lt;&gt;$C220),MAX($B$9:$B220)+1,"")</f>
      </c>
      <c r="C221" s="119"/>
      <c r="D221" s="125"/>
      <c r="E221" s="151"/>
      <c r="F221" s="80"/>
      <c r="G221" s="147" t="e">
        <f>VLOOKUP(F221,'Học viên- BC nợ học phí'!$C$7:$D$56,2,0)</f>
        <v>#N/A</v>
      </c>
      <c r="H221" s="91"/>
      <c r="I221" s="82"/>
    </row>
    <row r="222" spans="1:9" s="36" customFormat="1" ht="12">
      <c r="A222" s="36">
        <f t="shared" si="3"/>
      </c>
      <c r="B222" s="128">
        <f>IF(AND($C222&gt;0)*($C222&lt;&gt;$C221),MAX($B$9:$B221)+1,"")</f>
      </c>
      <c r="C222" s="119"/>
      <c r="D222" s="125"/>
      <c r="E222" s="151"/>
      <c r="F222" s="80"/>
      <c r="G222" s="147" t="e">
        <f>VLOOKUP(F222,'Học viên- BC nợ học phí'!$C$7:$D$56,2,0)</f>
        <v>#N/A</v>
      </c>
      <c r="H222" s="91"/>
      <c r="I222" s="82"/>
    </row>
    <row r="223" spans="2:9" ht="12.75">
      <c r="B223" s="129"/>
      <c r="C223" s="152"/>
      <c r="D223" s="115"/>
      <c r="E223" s="7" t="s">
        <v>8</v>
      </c>
      <c r="F223" s="10"/>
      <c r="G223" s="149"/>
      <c r="H223" s="116">
        <f>SUBTOTAL(9,H9:H222)</f>
        <v>27700000</v>
      </c>
      <c r="I223" s="117"/>
    </row>
    <row r="225" ht="7.5" customHeight="1"/>
  </sheetData>
  <sheetProtection/>
  <mergeCells count="5">
    <mergeCell ref="B5:I5"/>
    <mergeCell ref="B1:D1"/>
    <mergeCell ref="B2:D2"/>
    <mergeCell ref="B3:D3"/>
    <mergeCell ref="B4:D4"/>
  </mergeCells>
  <dataValidations count="3">
    <dataValidation allowBlank="1" showInputMessage="1" showErrorMessage="1" errorTitle="Lỗi" error="Mã công trình, loại sản phẩm chưa đăng ký, Chọn DM_SP trong hộp Name Box để đăng ký!" sqref="I223"/>
    <dataValidation type="list" allowBlank="1" showInputMessage="1" showErrorMessage="1" errorTitle="Lỗi" error="Mã công trình, loại sản phẩm chưa đăng ký, Chọn DM_SP trong hộp Name Box để đăng ký!" sqref="H199:H222 H97:H139 H45:H74 H76:H95">
      <formula1>SP</formula1>
    </dataValidation>
    <dataValidation type="list" allowBlank="1" showInputMessage="1" showErrorMessage="1" errorTitle="Lỗi" error="Mã khách hàng chưa đăng ký, Chọn DM_KH trong hộp Name Box để đăng ký!" sqref="G96:H96 G75:H75 G9:G74 G76:G95 G97:G222">
      <formula1>KH</formula1>
    </dataValidation>
  </dataValidations>
  <printOptions horizontalCentered="1"/>
  <pageMargins left="0.1968503937007874" right="0.1968503937007874" top="0.2362204724409449" bottom="0.29" header="0.15748031496062992" footer="0.275590551181102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6"/>
  <sheetViews>
    <sheetView showGridLines="0" showZeros="0" view="pageBreakPreview" zoomScale="85" zoomScaleNormal="90" zoomScaleSheetLayoutView="85" zoomScalePageLayoutView="0" workbookViewId="0" topLeftCell="A1">
      <selection activeCell="C18" sqref="C18"/>
    </sheetView>
  </sheetViews>
  <sheetFormatPr defaultColWidth="0" defaultRowHeight="14.25"/>
  <cols>
    <col min="1" max="1" width="2.296875" style="6" customWidth="1"/>
    <col min="2" max="2" width="10" style="6" customWidth="1"/>
    <col min="3" max="3" width="9.296875" style="6" customWidth="1"/>
    <col min="4" max="4" width="4.19921875" style="6" customWidth="1"/>
    <col min="5" max="5" width="5.09765625" style="6" customWidth="1"/>
    <col min="6" max="6" width="6.19921875" style="6" customWidth="1"/>
    <col min="7" max="7" width="4" style="6" customWidth="1"/>
    <col min="8" max="8" width="4.5" style="6" customWidth="1"/>
    <col min="9" max="9" width="5.796875" style="6" customWidth="1"/>
    <col min="10" max="10" width="2.09765625" style="6" customWidth="1"/>
    <col min="11" max="11" width="3.59765625" style="6" customWidth="1"/>
    <col min="12" max="12" width="7.796875" style="6" customWidth="1"/>
    <col min="13" max="13" width="3" style="6" customWidth="1"/>
    <col min="14" max="15" width="3.59765625" style="6" customWidth="1"/>
    <col min="16" max="16" width="2.296875" style="6" customWidth="1"/>
    <col min="17" max="17" width="2.69921875" style="6" customWidth="1"/>
    <col min="18" max="18" width="2" style="6" customWidth="1"/>
    <col min="19" max="19" width="9" style="6" customWidth="1"/>
    <col min="20" max="20" width="9" style="68" customWidth="1"/>
    <col min="21" max="21" width="0" style="61" hidden="1" customWidth="1"/>
    <col min="22" max="22" width="9.59765625" style="61" hidden="1" customWidth="1"/>
    <col min="23" max="23" width="8.19921875" style="61" hidden="1" customWidth="1"/>
    <col min="24" max="25" width="0" style="61" hidden="1" customWidth="1"/>
    <col min="26" max="26" width="5.5" style="61" hidden="1" customWidth="1"/>
    <col min="27" max="27" width="6.09765625" style="61" hidden="1" customWidth="1"/>
    <col min="28" max="28" width="7" style="61" hidden="1" customWidth="1"/>
    <col min="29" max="30" width="0" style="61" hidden="1" customWidth="1"/>
    <col min="31" max="34" width="0" style="6" hidden="1" customWidth="1"/>
    <col min="35" max="224" width="9" style="6" customWidth="1"/>
    <col min="225" max="225" width="9.796875" style="6" customWidth="1"/>
    <col min="226" max="242" width="0" style="6" hidden="1" customWidth="1"/>
    <col min="243" max="243" width="8.69921875" style="6" hidden="1" customWidth="1"/>
    <col min="244" max="244" width="11.796875" style="6" hidden="1" customWidth="1"/>
    <col min="245" max="249" width="1.69921875" style="6" hidden="1" customWidth="1"/>
    <col min="250" max="250" width="4" style="6" hidden="1" customWidth="1"/>
    <col min="251" max="253" width="1.69921875" style="6" hidden="1" customWidth="1"/>
    <col min="254" max="255" width="2.59765625" style="6" hidden="1" customWidth="1"/>
    <col min="256" max="16384" width="4.69921875" style="6" hidden="1" customWidth="1"/>
  </cols>
  <sheetData>
    <row r="1" spans="1:256" ht="14.25" customHeight="1">
      <c r="A1" s="135" t="str">
        <f>'Danh sách lớp '!B1</f>
        <v>Trung tâm tiếng anh Cô </v>
      </c>
      <c r="B1" s="135"/>
      <c r="C1" s="43"/>
      <c r="D1" s="43"/>
      <c r="E1" s="43"/>
      <c r="F1" s="43"/>
      <c r="G1" s="261" t="s">
        <v>27</v>
      </c>
      <c r="H1" s="261"/>
      <c r="I1" s="261"/>
      <c r="J1" s="261"/>
      <c r="K1" s="76"/>
      <c r="L1" s="253" t="str">
        <f>T1</f>
        <v>T001/20</v>
      </c>
      <c r="M1" s="256" t="str">
        <f>+IF(LEFT($T$1,1)="T","Mẫu số 01 - TT","Mẫu số 02 - TT")</f>
        <v>Mẫu số 01 - TT</v>
      </c>
      <c r="N1" s="256"/>
      <c r="O1" s="256"/>
      <c r="P1" s="256"/>
      <c r="Q1" s="256"/>
      <c r="R1" s="256"/>
      <c r="S1" s="257"/>
      <c r="T1" s="118" t="s">
        <v>152</v>
      </c>
      <c r="X1" s="62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4.25" customHeight="1">
      <c r="A2" s="135" t="str">
        <f>'Danh sách lớp '!B2</f>
        <v>Hà Nội</v>
      </c>
      <c r="B2" s="85"/>
      <c r="C2" s="45"/>
      <c r="D2" s="45"/>
      <c r="E2" s="45"/>
      <c r="F2" s="45"/>
      <c r="G2" s="262"/>
      <c r="H2" s="262"/>
      <c r="I2" s="262"/>
      <c r="J2" s="262"/>
      <c r="K2" s="77"/>
      <c r="L2" s="254"/>
      <c r="M2" s="258" t="s">
        <v>0</v>
      </c>
      <c r="N2" s="258"/>
      <c r="O2" s="258"/>
      <c r="P2" s="258"/>
      <c r="Q2" s="258"/>
      <c r="R2" s="258"/>
      <c r="S2" s="259"/>
      <c r="T2" s="63"/>
      <c r="X2" s="64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4.25" customHeight="1">
      <c r="A3" s="50" t="str">
        <f>'Danh sách lớp '!B3</f>
        <v>Điện thoại : 123456</v>
      </c>
      <c r="B3" s="84"/>
      <c r="C3" s="45"/>
      <c r="D3" s="45"/>
      <c r="E3" s="45"/>
      <c r="F3" s="45"/>
      <c r="G3" s="263" t="s">
        <v>33</v>
      </c>
      <c r="H3" s="263"/>
      <c r="I3" s="263"/>
      <c r="J3" s="263"/>
      <c r="K3" s="77" t="s">
        <v>36</v>
      </c>
      <c r="L3" s="254"/>
      <c r="M3" s="251" t="s">
        <v>1</v>
      </c>
      <c r="N3" s="251"/>
      <c r="O3" s="251"/>
      <c r="P3" s="251"/>
      <c r="Q3" s="251"/>
      <c r="R3" s="251"/>
      <c r="S3" s="252"/>
      <c r="T3" s="65"/>
      <c r="X3" s="64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4.25">
      <c r="A4" s="44"/>
      <c r="B4" s="45"/>
      <c r="C4" s="45"/>
      <c r="D4" s="45"/>
      <c r="E4" s="260">
        <f>IF($G$1="","",VLOOKUP($T$1,PS,2,0))</f>
        <v>43891</v>
      </c>
      <c r="F4" s="260"/>
      <c r="G4" s="260"/>
      <c r="H4" s="260"/>
      <c r="I4" s="260"/>
      <c r="J4" s="260"/>
      <c r="K4" s="260"/>
      <c r="L4" s="260"/>
      <c r="M4" s="46"/>
      <c r="N4" s="48" t="s">
        <v>9</v>
      </c>
      <c r="O4" s="46"/>
      <c r="P4" s="46"/>
      <c r="Q4" s="46"/>
      <c r="R4" s="46"/>
      <c r="S4" s="47"/>
      <c r="T4" s="65"/>
      <c r="X4" s="6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">
      <c r="A5" s="44"/>
      <c r="B5" s="45"/>
      <c r="C5" s="45"/>
      <c r="D5" s="45"/>
      <c r="E5" s="260"/>
      <c r="F5" s="260"/>
      <c r="G5" s="260"/>
      <c r="H5" s="260"/>
      <c r="I5" s="260"/>
      <c r="J5" s="260"/>
      <c r="K5" s="260"/>
      <c r="L5" s="260"/>
      <c r="N5" s="159" t="s">
        <v>40</v>
      </c>
      <c r="O5" s="250"/>
      <c r="P5" s="250"/>
      <c r="Q5" s="246"/>
      <c r="R5" s="246"/>
      <c r="S5" s="247"/>
      <c r="T5" s="65"/>
      <c r="X5" s="255"/>
      <c r="Y5" s="255"/>
      <c r="II5" s="11">
        <f>'In phiếu thu tiền'!C11</f>
        <v>5000000</v>
      </c>
      <c r="IJ5" s="12" t="str">
        <f>RIGHT("000000000000"&amp;ROUND(II5,0),12)</f>
        <v>000005000000</v>
      </c>
      <c r="IK5" s="13">
        <v>1</v>
      </c>
      <c r="IL5" s="13">
        <v>2</v>
      </c>
      <c r="IM5" s="13">
        <v>3</v>
      </c>
      <c r="IN5" s="14">
        <v>4</v>
      </c>
      <c r="IO5" s="14">
        <v>5</v>
      </c>
      <c r="IP5" s="14">
        <v>6</v>
      </c>
      <c r="IQ5" s="15">
        <v>7</v>
      </c>
      <c r="IR5" s="15">
        <v>8</v>
      </c>
      <c r="IS5" s="15">
        <v>9</v>
      </c>
      <c r="IT5" s="16">
        <v>10</v>
      </c>
      <c r="IU5" s="16">
        <v>11</v>
      </c>
      <c r="IV5" s="16">
        <v>12</v>
      </c>
    </row>
    <row r="6" spans="1:256" ht="13.5">
      <c r="A6" s="244"/>
      <c r="B6" s="245"/>
      <c r="C6" s="245"/>
      <c r="D6" s="245"/>
      <c r="E6" s="245"/>
      <c r="F6" s="245"/>
      <c r="G6" s="243"/>
      <c r="H6" s="243"/>
      <c r="I6" s="243"/>
      <c r="J6" s="243"/>
      <c r="K6" s="34"/>
      <c r="L6" s="50"/>
      <c r="N6" s="159" t="s">
        <v>41</v>
      </c>
      <c r="O6" s="250"/>
      <c r="P6" s="250"/>
      <c r="Q6" s="246"/>
      <c r="R6" s="246"/>
      <c r="S6" s="247"/>
      <c r="T6" s="65"/>
      <c r="II6" s="17"/>
      <c r="IJ6" s="18"/>
      <c r="IK6" s="19">
        <f>VALUE(MID(IJ5,IK5,1))</f>
        <v>0</v>
      </c>
      <c r="IL6" s="19">
        <f>VALUE(MID(IJ5,IL5,1))</f>
        <v>0</v>
      </c>
      <c r="IM6" s="19">
        <f>VALUE(MID(IJ5,IM5,1))</f>
        <v>0</v>
      </c>
      <c r="IN6" s="20">
        <f>VALUE(MID(IJ5,IN5,1))</f>
        <v>0</v>
      </c>
      <c r="IO6" s="20">
        <f>VALUE(MID(IJ5,IO5,1))</f>
        <v>0</v>
      </c>
      <c r="IP6" s="20">
        <f>VALUE(MID(IJ5,IP5,1))</f>
        <v>5</v>
      </c>
      <c r="IQ6" s="21">
        <f>VALUE(MID(IJ5,IQ5,1))</f>
        <v>0</v>
      </c>
      <c r="IR6" s="21">
        <f>VALUE(MID(IJ5,IR5,1))</f>
        <v>0</v>
      </c>
      <c r="IS6" s="21">
        <f>VALUE(MID(IJ5,IS5,1))</f>
        <v>0</v>
      </c>
      <c r="IT6" s="22">
        <f>VALUE(MID(IJ5,IT5,1))</f>
        <v>0</v>
      </c>
      <c r="IU6" s="22">
        <f>VALUE(MID(IJ5,IU5,1))</f>
        <v>0</v>
      </c>
      <c r="IV6" s="22">
        <f>VALUE(MID(IJ5,IV5,1))</f>
        <v>0</v>
      </c>
    </row>
    <row r="7" spans="1:256" ht="13.5">
      <c r="A7" s="52"/>
      <c r="B7" s="34" t="s">
        <v>144</v>
      </c>
      <c r="C7" s="34"/>
      <c r="D7" s="132" t="str">
        <f>IF(ISNA(VLOOKUP($T$1,PS,5,0))=TRUE,"",VLOOKUP($T$1,PS,5,0))</f>
        <v>Phạm Hà Linh</v>
      </c>
      <c r="E7" s="77"/>
      <c r="F7" s="77"/>
      <c r="G7" s="77"/>
      <c r="H7" s="34"/>
      <c r="J7" s="238" t="s">
        <v>143</v>
      </c>
      <c r="K7" s="238"/>
      <c r="L7" s="34" t="str">
        <f>VLOOKUP(L1,'Thu tiền học phí'!$C$9:$F$65536,4,0)</f>
        <v>HS0001</v>
      </c>
      <c r="M7" s="34"/>
      <c r="N7" s="51"/>
      <c r="O7" s="250" t="s">
        <v>142</v>
      </c>
      <c r="P7" s="250"/>
      <c r="Q7" s="248" t="str">
        <f>VLOOKUP(L1,'Thu tiền học phí'!$C$9:$I$65536,7,0)</f>
        <v>Toán 7</v>
      </c>
      <c r="R7" s="248"/>
      <c r="S7" s="249"/>
      <c r="T7" s="66"/>
      <c r="U7" s="67"/>
      <c r="II7" s="17"/>
      <c r="IJ7" s="18"/>
      <c r="IK7" s="19">
        <f>SUM(IK6:IK6)</f>
        <v>0</v>
      </c>
      <c r="IL7" s="19">
        <f>SUM(IK6:IL6)</f>
        <v>0</v>
      </c>
      <c r="IM7" s="19">
        <f>SUM(IK6:IM6)</f>
        <v>0</v>
      </c>
      <c r="IN7" s="20">
        <f>SUM(IN6:IN6)</f>
        <v>0</v>
      </c>
      <c r="IO7" s="20">
        <f>SUM(IN6:IO6)</f>
        <v>0</v>
      </c>
      <c r="IP7" s="20">
        <f>SUM(IN6:IP6)</f>
        <v>5</v>
      </c>
      <c r="IQ7" s="21">
        <f>SUM(IQ6:IQ6)</f>
        <v>0</v>
      </c>
      <c r="IR7" s="21">
        <f>SUM(IQ6:IR6)</f>
        <v>0</v>
      </c>
      <c r="IS7" s="21">
        <f>SUM(IQ6:IS6)</f>
        <v>0</v>
      </c>
      <c r="IT7" s="22">
        <f>SUM(IT6:IT6)</f>
        <v>0</v>
      </c>
      <c r="IU7" s="22">
        <f>SUM(IT6:IU6)</f>
        <v>0</v>
      </c>
      <c r="IV7" s="22">
        <f>SUM(IT6:IV6)</f>
        <v>0</v>
      </c>
    </row>
    <row r="8" spans="1:256" ht="16.5" customHeight="1">
      <c r="A8" s="52"/>
      <c r="B8" s="34" t="s">
        <v>45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34"/>
      <c r="Q8" s="34"/>
      <c r="R8" s="34"/>
      <c r="S8" s="40"/>
      <c r="T8" s="65"/>
      <c r="U8" s="67"/>
      <c r="II8" s="17"/>
      <c r="IJ8" s="18"/>
      <c r="IK8" s="23">
        <f>IF(IK6=0,"",CHOOSE(IK6,"một","hai","ba","bốn","năm","sáu","bảy","tám","chín"))</f>
      </c>
      <c r="IL8" s="23">
        <f>IF(IL6=0,IF(AND(IK6&lt;&gt;0,IM6&lt;&gt;0),"lẻ",""),CHOOSE(IL6,"mười","hai","ba","bốn","năm","sáu","bảy","tám","chín"))</f>
      </c>
      <c r="IM8" s="23">
        <f>IF(IM6=0,"",CHOOSE(IM6,IF(IL6&gt;1,"mốt","một"),"hai","ba","bốn",IF(IL6=0,"năm","lăm"),"sáu","bảy","tám","chín"))</f>
      </c>
      <c r="IN8" s="24">
        <f>IF(IN6=0,"",CHOOSE(IN6,"một","hai","ba","bốn","năm","sáu","bảy","tám","chín"))</f>
      </c>
      <c r="IO8" s="24">
        <f>IF(IO6=0,IF(AND(IN6&lt;&gt;0,IP6&lt;&gt;0),"lẻ",""),CHOOSE(IO6,"mười","hai","ba","bốn","năm","sáu","bảy","tám","chín"))</f>
      </c>
      <c r="IP8" s="24" t="str">
        <f>IF(IP6=0,"",CHOOSE(IP6,IF(IO6&gt;1,"mốt","một"),"hai","ba","bốn",IF(IO6=0,"năm","lăm"),"sáu","bảy","tám","chín"))</f>
        <v>năm</v>
      </c>
      <c r="IQ8" s="25">
        <f>IF(IQ6=0,"",CHOOSE(IQ6,"một","hai","ba","bốn","năm","sáu","bảy","tám","chín"))</f>
      </c>
      <c r="IR8" s="25">
        <f>IF(IR6=0,IF(AND(IQ6&lt;&gt;0,IS6&lt;&gt;0),"lẻ",""),CHOOSE(IR6,"mười","hai","ba","bốn","năm","sáu","bảy","tám","chín"))</f>
      </c>
      <c r="IS8" s="25">
        <f>IF(IS6=0,"",CHOOSE(IS6,IF(IR6&gt;1,"mốt","một"),"hai","ba","bốn",IF(IR6=0,"năm","lăm"),"sáu","bảy","tám","chín"))</f>
      </c>
      <c r="IT8" s="26">
        <f>IF(IT6=0,"",CHOOSE(IT6,"một","hai","ba","bốn","năm","sáu","bảy","tám","chín"))</f>
      </c>
      <c r="IU8" s="26">
        <f>IF(IU6=0,IF(AND(IT6&lt;&gt;0,IV6&lt;&gt;0),"lẻ",""),CHOOSE(IU6,"mười","hai","ba","bốn","năm","sáu","bảy","tám","chín"))</f>
      </c>
      <c r="IV8" s="26">
        <f>IF(IV6=0,"",CHOOSE(IV6,IF(IU6&gt;1,"mốt","một"),"hai","ba","bốn",IF(IU6=0,"năm","lăm"),"sáu","bảy","tám","chín"))</f>
      </c>
    </row>
    <row r="9" spans="1:256" ht="16.5" customHeight="1">
      <c r="A9" s="52"/>
      <c r="B9" s="54" t="str">
        <f>+IF(LEFT(T1,1)="T","Lý do nộp :","Lý do chi :")</f>
        <v>Lý do nộp :</v>
      </c>
      <c r="D9" s="54" t="str">
        <f>IF($G$1="","",VLOOKUP($T$1,PS,3,0))</f>
        <v>Phạm Hà Linh Toán 7 nộp học phí</v>
      </c>
      <c r="E9" s="54"/>
      <c r="F9" s="54"/>
      <c r="G9" s="54"/>
      <c r="H9" s="54"/>
      <c r="I9" s="54"/>
      <c r="J9" s="54"/>
      <c r="K9" s="54"/>
      <c r="L9" s="54"/>
      <c r="M9" s="54"/>
      <c r="N9" s="34"/>
      <c r="O9" s="34"/>
      <c r="P9" s="34"/>
      <c r="Q9" s="34"/>
      <c r="R9" s="34"/>
      <c r="S9" s="40"/>
      <c r="T9" s="65"/>
      <c r="II9" s="17"/>
      <c r="IJ9" s="18"/>
      <c r="IK9" s="27">
        <f>IF(IK6=0,"","trăm")</f>
      </c>
      <c r="IL9" s="27">
        <f>IF(IL6=0,"",IF(IL6=1,"","mươi"))</f>
      </c>
      <c r="IM9" s="27">
        <f>IF(AND(IM6=0,IM7=0),"","tỷ")</f>
      </c>
      <c r="IN9" s="28">
        <f>IF(IN6=0,"","trăm")</f>
      </c>
      <c r="IO9" s="28">
        <f>IF(IO6=0,"",IF(IO6=1,"","mươi"))</f>
      </c>
      <c r="IP9" s="28" t="str">
        <f>IF(AND(IP6=0,IP7=0),"","triệu")</f>
        <v>triệu</v>
      </c>
      <c r="IQ9" s="29">
        <f>IF(IQ6=0,"","trăm")</f>
      </c>
      <c r="IR9" s="29">
        <f>IF(IR6=0,"",IF(IR6=1,"","mươi"))</f>
      </c>
      <c r="IS9" s="29">
        <f>IF(AND(IS6=0,IS7=0),"","ngàn")</f>
      </c>
      <c r="IT9" s="30">
        <f>IF(IT6=0,"","trăm")</f>
      </c>
      <c r="IU9" s="30">
        <f>IF(IU6=0,"",IF(IU6=1,"","mươi"))</f>
      </c>
      <c r="IV9" s="30" t="s">
        <v>37</v>
      </c>
    </row>
    <row r="10" spans="1:256" ht="16.5" customHeight="1">
      <c r="A10" s="52"/>
      <c r="B10" s="54" t="s"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II10" s="17"/>
      <c r="IJ10" s="31" t="str">
        <f>UPPER(LEFT(TRIM(IF(II5=0,"không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"&amp;IV9)),1))&amp;RIGHT(TRIM(IF(II5=0,"không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"&amp;IV9)),LEN(TRIM(IF(II5=0,"không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"&amp;IV9)))-1)</f>
        <v>Năm triệu đồng.</v>
      </c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6.5" customHeight="1">
      <c r="A11" s="52"/>
      <c r="B11" s="50" t="s">
        <v>35</v>
      </c>
      <c r="C11" s="239">
        <f>VLOOKUP(L1,'Thu tiền học phí'!$C$9:$H$65536,6,0)</f>
        <v>5000000</v>
      </c>
      <c r="D11" s="239"/>
      <c r="E11" s="239"/>
      <c r="F11" s="239"/>
      <c r="G11" s="89" t="s">
        <v>29</v>
      </c>
      <c r="H11" s="34"/>
      <c r="I11" s="34"/>
      <c r="J11" s="34"/>
      <c r="K11" s="34"/>
      <c r="L11" s="34"/>
      <c r="M11" s="34"/>
      <c r="N11" s="54"/>
      <c r="O11" s="54"/>
      <c r="P11" s="54"/>
      <c r="Q11" s="54"/>
      <c r="R11" s="54"/>
      <c r="S11" s="55"/>
      <c r="T11" s="6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>
      <c r="A12" s="52"/>
      <c r="B12" s="269" t="s">
        <v>28</v>
      </c>
      <c r="C12" s="269"/>
      <c r="D12" s="270" t="str">
        <f>V20</f>
        <v>Năm triệu đồng.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1"/>
      <c r="T12" s="61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0" ht="16.5" customHeight="1">
      <c r="A13" s="5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65"/>
    </row>
    <row r="14" spans="1:20" ht="16.5" customHeight="1">
      <c r="A14" s="52"/>
      <c r="B14" s="34"/>
      <c r="C14" s="243"/>
      <c r="D14" s="243"/>
      <c r="E14" s="50"/>
      <c r="G14" s="39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2"/>
      <c r="T14" s="65"/>
    </row>
    <row r="15" spans="1:34" ht="16.5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36">
        <f>E36</f>
        <v>43891</v>
      </c>
      <c r="M15" s="236"/>
      <c r="N15" s="236"/>
      <c r="O15" s="236"/>
      <c r="P15" s="236"/>
      <c r="Q15" s="236"/>
      <c r="R15" s="236"/>
      <c r="S15" s="237"/>
      <c r="T15" s="65"/>
      <c r="U15" s="92">
        <f>C11</f>
        <v>5000000</v>
      </c>
      <c r="V15" s="93" t="str">
        <f>RIGHT("000000000000"&amp;ROUND(U15,0),12)</f>
        <v>000005000000</v>
      </c>
      <c r="W15" s="94">
        <v>1</v>
      </c>
      <c r="X15" s="94">
        <v>2</v>
      </c>
      <c r="Y15" s="94">
        <v>3</v>
      </c>
      <c r="Z15" s="95">
        <v>4</v>
      </c>
      <c r="AA15" s="95">
        <v>5</v>
      </c>
      <c r="AB15" s="95">
        <v>6</v>
      </c>
      <c r="AC15" s="96">
        <v>7</v>
      </c>
      <c r="AD15" s="96">
        <v>8</v>
      </c>
      <c r="AE15" s="96">
        <v>9</v>
      </c>
      <c r="AF15" s="97">
        <v>10</v>
      </c>
      <c r="AG15" s="97">
        <v>11</v>
      </c>
      <c r="AH15" s="97">
        <v>12</v>
      </c>
    </row>
    <row r="16" spans="1:34" ht="16.5" customHeight="1">
      <c r="A16" s="264"/>
      <c r="B16" s="238"/>
      <c r="C16" s="238"/>
      <c r="D16" s="238" t="s">
        <v>10</v>
      </c>
      <c r="E16" s="238"/>
      <c r="F16" s="238"/>
      <c r="G16" s="238"/>
      <c r="L16" s="238" t="s">
        <v>32</v>
      </c>
      <c r="M16" s="238"/>
      <c r="N16" s="238"/>
      <c r="O16" s="238"/>
      <c r="P16" s="267"/>
      <c r="Q16" s="267"/>
      <c r="R16" s="267"/>
      <c r="S16" s="268"/>
      <c r="T16" s="70"/>
      <c r="U16" s="98"/>
      <c r="V16" s="99"/>
      <c r="W16" s="100">
        <f>VALUE(MID(V15,W15,1))</f>
        <v>0</v>
      </c>
      <c r="X16" s="100">
        <f>VALUE(MID(V15,X15,1))</f>
        <v>0</v>
      </c>
      <c r="Y16" s="100">
        <f>VALUE(MID(V15,Y15,1))</f>
        <v>0</v>
      </c>
      <c r="Z16" s="101">
        <f>VALUE(MID(V15,Z15,1))</f>
        <v>0</v>
      </c>
      <c r="AA16" s="101">
        <f>VALUE(MID(V15,AA15,1))</f>
        <v>0</v>
      </c>
      <c r="AB16" s="101">
        <f>VALUE(MID(V15,AB15,1))</f>
        <v>5</v>
      </c>
      <c r="AC16" s="102">
        <f>VALUE(MID(V15,AC15,1))</f>
        <v>0</v>
      </c>
      <c r="AD16" s="102">
        <f>VALUE(MID(V15,AD15,1))</f>
        <v>0</v>
      </c>
      <c r="AE16" s="102">
        <f>VALUE(MID(V15,AE15,1))</f>
        <v>0</v>
      </c>
      <c r="AF16" s="103">
        <f>VALUE(MID(V15,AF15,1))</f>
        <v>0</v>
      </c>
      <c r="AG16" s="103">
        <f>VALUE(MID(V15,AG15,1))</f>
        <v>0</v>
      </c>
      <c r="AH16" s="103">
        <f>VALUE(MID(V15,AH15,1))</f>
        <v>0</v>
      </c>
    </row>
    <row r="17" spans="1:34" s="38" customFormat="1" ht="16.5" customHeight="1">
      <c r="A17" s="265"/>
      <c r="B17" s="243"/>
      <c r="C17" s="243"/>
      <c r="D17" s="243" t="s">
        <v>14</v>
      </c>
      <c r="E17" s="243"/>
      <c r="F17" s="243"/>
      <c r="G17" s="243"/>
      <c r="L17" s="243" t="s">
        <v>14</v>
      </c>
      <c r="M17" s="243"/>
      <c r="N17" s="243"/>
      <c r="O17" s="243"/>
      <c r="P17" s="243"/>
      <c r="Q17" s="243"/>
      <c r="R17" s="243"/>
      <c r="S17" s="266"/>
      <c r="T17" s="71"/>
      <c r="U17" s="98"/>
      <c r="V17" s="99"/>
      <c r="W17" s="100">
        <f>SUM(W16:W16)</f>
        <v>0</v>
      </c>
      <c r="X17" s="100">
        <f>SUM(W16:X16)</f>
        <v>0</v>
      </c>
      <c r="Y17" s="100">
        <f>SUM(W16:Y16)</f>
        <v>0</v>
      </c>
      <c r="Z17" s="101">
        <f>SUM(Z16:Z16)</f>
        <v>0</v>
      </c>
      <c r="AA17" s="101">
        <f>SUM(Z16:AA16)</f>
        <v>0</v>
      </c>
      <c r="AB17" s="101">
        <f>SUM(Z16:AB16)</f>
        <v>5</v>
      </c>
      <c r="AC17" s="102">
        <f>SUM(AC16:AC16)</f>
        <v>0</v>
      </c>
      <c r="AD17" s="102">
        <f>SUM(AC16:AD16)</f>
        <v>0</v>
      </c>
      <c r="AE17" s="102">
        <f>SUM(AC16:AE16)</f>
        <v>0</v>
      </c>
      <c r="AF17" s="103">
        <f>SUM(AF16:AF16)</f>
        <v>0</v>
      </c>
      <c r="AG17" s="103">
        <f>SUM(AF16:AG16)</f>
        <v>0</v>
      </c>
      <c r="AH17" s="103">
        <f>SUM(AF16:AH16)</f>
        <v>0</v>
      </c>
    </row>
    <row r="18" spans="1:34" ht="16.5" customHeight="1">
      <c r="A18" s="5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9"/>
      <c r="O18" s="39"/>
      <c r="P18" s="50"/>
      <c r="Q18" s="50"/>
      <c r="R18" s="50"/>
      <c r="S18" s="56"/>
      <c r="T18" s="70"/>
      <c r="U18" s="98"/>
      <c r="V18" s="99"/>
      <c r="W18" s="104">
        <f>IF(W16=0,"",CHOOSE(W16,"một","hai","ba","bốn","năm","sáu","bảy","tám","chín"))</f>
      </c>
      <c r="X18" s="104">
        <f>IF(X16=0,IF(AND(W16&lt;&gt;0,Y16&lt;&gt;0),"lẻ",""),CHOOSE(X16,"mười","hai","ba","bốn","năm","sáu","bảy","tám","chín"))</f>
      </c>
      <c r="Y18" s="104">
        <f>IF(Y16=0,"",CHOOSE(Y16,IF(X16&gt;1,"mốt","một"),"hai","ba","bốn",IF(X16=0,"năm","lăm"),"sáu","bảy","tám","chín"))</f>
      </c>
      <c r="Z18" s="105">
        <f>IF(Z16=0,"",CHOOSE(Z16,"một","hai","ba","bốn","năm","sáu","bảy","tám","chín"))</f>
      </c>
      <c r="AA18" s="105">
        <f>IF(AA16=0,IF(AND(Z16&lt;&gt;0,AB16&lt;&gt;0),"lẻ",""),CHOOSE(AA16,"mười","hai","ba","bốn","năm","sáu","bảy","tám","chín"))</f>
      </c>
      <c r="AB18" s="105" t="str">
        <f>IF(AB16=0,"",CHOOSE(AB16,IF(AA16&gt;1,"mốt","một"),"hai","ba","bốn",IF(AA16=0,"năm","lăm"),"sáu","bảy","tám","chín"))</f>
        <v>năm</v>
      </c>
      <c r="AC18" s="106">
        <f>IF(AC16=0,"",CHOOSE(AC16,"một","hai","ba","bốn","năm","sáu","bảy","tám","chín"))</f>
      </c>
      <c r="AD18" s="106">
        <f>IF(AD16=0,IF(AND(AC16&lt;&gt;0,AE16&lt;&gt;0),"lẻ",""),CHOOSE(AD16,"mười","hai","ba","bốn","năm","sáu","bảy","tám","chín"))</f>
      </c>
      <c r="AE18" s="106">
        <f>IF(AE16=0,"",CHOOSE(AE16,IF(AD16&gt;1,"mốt","một"),"hai","ba","bốn",IF(AD16=0,"năm","lăm"),"sáu","bảy","tám","chín"))</f>
      </c>
      <c r="AF18" s="107">
        <f>IF(AF16=0,"",CHOOSE(AF16,"một","hai","ba","bốn","năm","sáu","bảy","tám","chín"))</f>
      </c>
      <c r="AG18" s="107">
        <f>IF(AG16=0,IF(AND(AF16&lt;&gt;0,AH16&lt;&gt;0),"lẻ",""),CHOOSE(AG16,"mười","hai","ba","bốn","năm","sáu","bảy","tám","chín"))</f>
      </c>
      <c r="AH18" s="107">
        <f>IF(AH16=0,"",CHOOSE(AH16,IF(AG16&gt;1,"mốt","một"),"hai","ba","bốn",IF(AG16=0,"năm","lăm"),"sáu","bảy","tám","chín"))</f>
      </c>
    </row>
    <row r="19" spans="1:34" ht="16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6"/>
      <c r="T19" s="65"/>
      <c r="U19" s="98"/>
      <c r="V19" s="99"/>
      <c r="W19" s="108">
        <f>IF(W16=0,"","trăm")</f>
      </c>
      <c r="X19" s="108">
        <f>IF(X16=0,"",IF(X16=1,"","mươi"))</f>
      </c>
      <c r="Y19" s="108">
        <f>IF(AND(Y16=0,Y17=0),"","tỷ")</f>
      </c>
      <c r="Z19" s="109">
        <f>IF(Z16=0,"","trăm")</f>
      </c>
      <c r="AA19" s="109">
        <f>IF(AA16=0,"",IF(AA16=1,"","mươi"))</f>
      </c>
      <c r="AB19" s="109" t="str">
        <f>IF(AND(AB16=0,AB17=0),"","triệu")</f>
        <v>triệu</v>
      </c>
      <c r="AC19" s="110">
        <f>IF(AC16=0,"","trăm")</f>
      </c>
      <c r="AD19" s="110">
        <f>IF(AD16=0,"",IF(AD16=1,"","mươi"))</f>
      </c>
      <c r="AE19" s="110">
        <f>IF(AND(AE16=0,AE17=0),"","ngàn")</f>
      </c>
      <c r="AF19" s="111">
        <f>IF(AF16=0,"","trăm")</f>
      </c>
      <c r="AG19" s="111">
        <f>IF(AG16=0,"",IF(AG16=1,"","mươi"))</f>
      </c>
      <c r="AH19" s="111" t="s">
        <v>37</v>
      </c>
    </row>
    <row r="20" spans="1:34" ht="16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6"/>
      <c r="T20" s="65"/>
      <c r="U20" s="98"/>
      <c r="V20" s="112" t="str">
        <f>UPPER(LEFT(TRIM(IF(U15=0,"không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"&amp;AH19)),1))&amp;RIGHT(TRIM(IF(U15=0,"không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"&amp;AH19)),LEN(TRIM(IF(U15=0,"không đồng.",W18&amp;" "&amp;W19&amp;" "&amp;X18&amp;" "&amp;X19&amp;" "&amp;Y18&amp;" "&amp;Y19&amp;" "&amp;Z18&amp;" "&amp;Z19&amp;" "&amp;AA18&amp;" "&amp;AA19&amp;" "&amp;AB18&amp;" "&amp;AB19&amp;" "&amp;AC18&amp;" "&amp;AC19&amp;" "&amp;AD18&amp;" "&amp;AD19&amp;" "&amp;AE18&amp;" "&amp;AE19&amp;" "&amp;AF18&amp;" "&amp;AF19&amp;" "&amp;AG18&amp;" "&amp;AG19&amp;" "&amp;AH18&amp;" "&amp;AH19)))-1)</f>
        <v>Năm triệu đồng.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20" ht="16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6"/>
      <c r="T21" s="65"/>
    </row>
    <row r="22" spans="1:20" ht="14.25">
      <c r="A22" s="241" t="s">
        <v>16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2"/>
      <c r="T22" s="65"/>
    </row>
    <row r="23" spans="1:20" ht="22.5" customHeight="1">
      <c r="A23" s="241" t="s">
        <v>17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2"/>
      <c r="T23" s="65"/>
    </row>
    <row r="24" spans="1:20" ht="33" customHeight="1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9"/>
      <c r="T24" s="65"/>
    </row>
    <row r="25" spans="1:20" ht="26.25" customHeight="1">
      <c r="A25" s="72"/>
      <c r="B25" s="73" t="s">
        <v>30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65"/>
    </row>
    <row r="26" spans="1:20" ht="16.5" customHeight="1" hidden="1">
      <c r="A26" s="74"/>
      <c r="B26" s="73" t="s">
        <v>31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2"/>
      <c r="O26" s="72"/>
      <c r="P26" s="74"/>
      <c r="Q26" s="74"/>
      <c r="R26" s="74"/>
      <c r="S26" s="74"/>
      <c r="T26" s="65"/>
    </row>
    <row r="27" spans="1:20" ht="13.5" hidden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5"/>
    </row>
    <row r="28" spans="1:19" ht="13.5" hidden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3.5" hidden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3.5" hidden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3.5" hidden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3.5" hidden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3.5">
      <c r="A33" s="42" t="str">
        <f>A1</f>
        <v>Trung tâm tiếng anh Cô </v>
      </c>
      <c r="B33" s="133"/>
      <c r="C33" s="133"/>
      <c r="D33" s="133"/>
      <c r="E33" s="133"/>
      <c r="F33" s="43"/>
      <c r="G33" s="261" t="str">
        <f>IF(LEFT($T$1,1)="T","PHIẾU THU","PHIẾU CHI")</f>
        <v>PHIẾU THU</v>
      </c>
      <c r="H33" s="261"/>
      <c r="I33" s="261"/>
      <c r="J33" s="261"/>
      <c r="K33" s="272" t="s">
        <v>36</v>
      </c>
      <c r="L33" s="253" t="str">
        <f>L1</f>
        <v>T001/20</v>
      </c>
      <c r="M33" s="256" t="str">
        <f>+IF(LEFT($T$1,1)="T","Mẫu số 01 - TT","Mẫu số 02 - TT")</f>
        <v>Mẫu số 01 - TT</v>
      </c>
      <c r="N33" s="256"/>
      <c r="O33" s="256"/>
      <c r="P33" s="256"/>
      <c r="Q33" s="256"/>
      <c r="R33" s="256"/>
      <c r="S33" s="257"/>
    </row>
    <row r="34" spans="1:19" ht="13.5">
      <c r="A34" s="42" t="str">
        <f>A2</f>
        <v>Hà Nội</v>
      </c>
      <c r="B34" s="134"/>
      <c r="C34" s="134"/>
      <c r="D34" s="134"/>
      <c r="E34" s="134"/>
      <c r="F34" s="45"/>
      <c r="G34" s="262"/>
      <c r="H34" s="262"/>
      <c r="I34" s="262"/>
      <c r="J34" s="262"/>
      <c r="K34" s="243"/>
      <c r="L34" s="273"/>
      <c r="M34" s="258" t="s">
        <v>0</v>
      </c>
      <c r="N34" s="258"/>
      <c r="O34" s="258"/>
      <c r="P34" s="258"/>
      <c r="Q34" s="258"/>
      <c r="R34" s="258"/>
      <c r="S34" s="259"/>
    </row>
    <row r="35" spans="1:19" ht="13.5">
      <c r="A35" s="42" t="str">
        <f>A3</f>
        <v>Điện thoại : 123456</v>
      </c>
      <c r="B35" s="45"/>
      <c r="C35" s="45"/>
      <c r="D35" s="45"/>
      <c r="E35" s="45"/>
      <c r="F35" s="45"/>
      <c r="G35" s="263" t="s">
        <v>25</v>
      </c>
      <c r="H35" s="263"/>
      <c r="I35" s="263"/>
      <c r="J35" s="263"/>
      <c r="K35" s="243"/>
      <c r="L35" s="273"/>
      <c r="M35" s="251" t="s">
        <v>1</v>
      </c>
      <c r="N35" s="251"/>
      <c r="O35" s="251"/>
      <c r="P35" s="251"/>
      <c r="Q35" s="251"/>
      <c r="R35" s="251"/>
      <c r="S35" s="252"/>
    </row>
    <row r="36" spans="1:19" ht="14.25">
      <c r="A36" s="75"/>
      <c r="B36" s="45"/>
      <c r="C36" s="45"/>
      <c r="D36" s="45"/>
      <c r="E36" s="260">
        <f>IF($G$1="","",VLOOKUP($T$1,PS,2,0))</f>
        <v>43891</v>
      </c>
      <c r="F36" s="260"/>
      <c r="G36" s="260"/>
      <c r="H36" s="260"/>
      <c r="I36" s="260"/>
      <c r="J36" s="260"/>
      <c r="K36" s="260"/>
      <c r="L36" s="260"/>
      <c r="M36" s="46"/>
      <c r="N36" s="48" t="s">
        <v>9</v>
      </c>
      <c r="O36" s="46"/>
      <c r="P36" s="46"/>
      <c r="Q36" s="46"/>
      <c r="R36" s="46"/>
      <c r="S36" s="47"/>
    </row>
    <row r="37" spans="1:19" ht="14.25">
      <c r="A37" s="44"/>
      <c r="B37" s="45"/>
      <c r="C37" s="45"/>
      <c r="D37" s="45"/>
      <c r="E37" s="260"/>
      <c r="F37" s="260"/>
      <c r="G37" s="260"/>
      <c r="H37" s="260"/>
      <c r="I37" s="260"/>
      <c r="J37" s="260"/>
      <c r="K37" s="260"/>
      <c r="L37" s="260"/>
      <c r="N37" s="49" t="s">
        <v>40</v>
      </c>
      <c r="O37" s="250">
        <f>O5</f>
        <v>0</v>
      </c>
      <c r="P37" s="250"/>
      <c r="Q37" s="246">
        <f>Q5</f>
        <v>0</v>
      </c>
      <c r="R37" s="246"/>
      <c r="S37" s="247"/>
    </row>
    <row r="38" spans="1:19" ht="13.5">
      <c r="A38" s="244"/>
      <c r="B38" s="245"/>
      <c r="C38" s="245"/>
      <c r="D38" s="245"/>
      <c r="E38" s="245"/>
      <c r="F38" s="245"/>
      <c r="G38" s="243"/>
      <c r="H38" s="243"/>
      <c r="I38" s="243"/>
      <c r="J38" s="243"/>
      <c r="K38" s="34"/>
      <c r="L38" s="50"/>
      <c r="N38" s="49" t="s">
        <v>41</v>
      </c>
      <c r="O38" s="250">
        <f>O6</f>
        <v>0</v>
      </c>
      <c r="P38" s="250"/>
      <c r="Q38" s="246">
        <f>Q6</f>
        <v>0</v>
      </c>
      <c r="R38" s="246"/>
      <c r="S38" s="247"/>
    </row>
    <row r="39" spans="1:19" ht="13.5">
      <c r="A39" s="52"/>
      <c r="B39" s="34" t="str">
        <f>B7</f>
        <v>Học viên nộp tiền :</v>
      </c>
      <c r="C39" s="34"/>
      <c r="D39" s="274" t="str">
        <f>D7</f>
        <v>Phạm Hà Linh</v>
      </c>
      <c r="E39" s="274"/>
      <c r="F39" s="274"/>
      <c r="G39" s="274"/>
      <c r="H39" s="34"/>
      <c r="J39" s="35"/>
      <c r="K39" s="60"/>
      <c r="L39" s="53" t="e">
        <f>+IF(ISNA(VLOOKUP($L$1,PS,12,0))=TRUE,"",VLOOKUP($L$1,PS,13,0))</f>
        <v>#REF!</v>
      </c>
      <c r="M39" s="34"/>
      <c r="N39" s="51" t="e">
        <f>IF(Q39&lt;&gt;" ","Có","")</f>
        <v>#REF!</v>
      </c>
      <c r="O39" s="250" t="e">
        <f>IF(Q39&lt;&gt;" ","33311","")</f>
        <v>#REF!</v>
      </c>
      <c r="P39" s="250"/>
      <c r="Q39" s="248" t="e">
        <f>IF(IF(ISNA(VLOOKUP($T$1,PS,11,0))=TRUE,"",VLOOKUP($T$1,PS,16,0))&gt;0,IF(ISNA(VLOOKUP($T$1,PS,11,0))=TRUE,"",VLOOKUP($T$1,PS,16,0))," ")</f>
        <v>#REF!</v>
      </c>
      <c r="R39" s="248"/>
      <c r="S39" s="249"/>
    </row>
    <row r="40" spans="1:19" ht="13.5">
      <c r="A40" s="52"/>
      <c r="B40" s="34" t="str">
        <f>B8</f>
        <v>Địa chỉ :</v>
      </c>
      <c r="D40" s="34" t="s">
        <v>19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40"/>
    </row>
    <row r="41" spans="1:19" ht="13.5">
      <c r="A41" s="52"/>
      <c r="B41" s="34" t="str">
        <f>B9</f>
        <v>Lý do nộp :</v>
      </c>
      <c r="D41" s="54" t="str">
        <f>D9</f>
        <v>Phạm Hà Linh Toán 7 nộp học phí</v>
      </c>
      <c r="E41" s="54"/>
      <c r="F41" s="54"/>
      <c r="G41" s="54"/>
      <c r="H41" s="54"/>
      <c r="I41" s="54"/>
      <c r="J41" s="54"/>
      <c r="K41" s="54"/>
      <c r="L41" s="54"/>
      <c r="M41" s="54"/>
      <c r="N41" s="34"/>
      <c r="O41" s="34"/>
      <c r="P41" s="34"/>
      <c r="Q41" s="34"/>
      <c r="R41" s="34"/>
      <c r="S41" s="40"/>
    </row>
    <row r="42" spans="1:19" ht="13.5">
      <c r="A42" s="5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19" ht="13.5">
      <c r="A43" s="52"/>
      <c r="B43" s="50" t="s">
        <v>35</v>
      </c>
      <c r="C43" s="239">
        <f>C11</f>
        <v>5000000</v>
      </c>
      <c r="D43" s="239"/>
      <c r="E43" s="239"/>
      <c r="F43" s="239"/>
      <c r="G43" s="34" t="s">
        <v>2</v>
      </c>
      <c r="H43" s="34"/>
      <c r="I43" s="34"/>
      <c r="J43" s="34"/>
      <c r="K43" s="34"/>
      <c r="L43" s="34"/>
      <c r="M43" s="34"/>
      <c r="N43" s="54"/>
      <c r="O43" s="54"/>
      <c r="P43" s="54"/>
      <c r="Q43" s="54"/>
      <c r="R43" s="54"/>
      <c r="S43" s="55"/>
    </row>
    <row r="44" spans="1:19" ht="14.25" customHeight="1">
      <c r="A44" s="52"/>
      <c r="B44" s="269" t="str">
        <f>B12</f>
        <v>Viết bằng chữ:</v>
      </c>
      <c r="C44" s="269"/>
      <c r="D44" s="270" t="str">
        <f>D12</f>
        <v>Năm triệu đồng.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1"/>
    </row>
    <row r="45" spans="1:19" ht="14.25" customHeight="1">
      <c r="A45" s="5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4"/>
    </row>
    <row r="46" spans="1:19" ht="13.5">
      <c r="A46" s="52"/>
      <c r="B46" s="34">
        <f>B14</f>
        <v>0</v>
      </c>
      <c r="C46" s="243">
        <f>C14</f>
        <v>0</v>
      </c>
      <c r="D46" s="243"/>
      <c r="E46" s="34">
        <f>E14</f>
        <v>0</v>
      </c>
      <c r="G46" s="39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2"/>
    </row>
    <row r="47" spans="1:19" ht="13.5">
      <c r="A47" s="5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236">
        <f>E36</f>
        <v>43891</v>
      </c>
      <c r="M47" s="236"/>
      <c r="N47" s="236"/>
      <c r="O47" s="236"/>
      <c r="P47" s="236"/>
      <c r="Q47" s="236"/>
      <c r="R47" s="236"/>
      <c r="S47" s="236"/>
    </row>
    <row r="48" spans="1:19" ht="13.5">
      <c r="A48" s="264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67"/>
      <c r="Q48" s="267"/>
      <c r="R48" s="267"/>
      <c r="S48" s="268"/>
    </row>
    <row r="49" spans="1:19" ht="13.5">
      <c r="A49" s="265"/>
      <c r="B49" s="243"/>
      <c r="C49" s="243"/>
      <c r="D49" s="238" t="s">
        <v>10</v>
      </c>
      <c r="E49" s="238"/>
      <c r="F49" s="238"/>
      <c r="G49" s="238"/>
      <c r="L49" s="238" t="s">
        <v>32</v>
      </c>
      <c r="M49" s="238"/>
      <c r="N49" s="238"/>
      <c r="O49" s="238"/>
      <c r="P49" s="243"/>
      <c r="Q49" s="243"/>
      <c r="R49" s="243"/>
      <c r="S49" s="266"/>
    </row>
    <row r="50" spans="1:19" ht="14.25">
      <c r="A50" s="52"/>
      <c r="B50" s="50"/>
      <c r="C50" s="50"/>
      <c r="D50" s="243" t="s">
        <v>14</v>
      </c>
      <c r="E50" s="243"/>
      <c r="F50" s="243"/>
      <c r="G50" s="243"/>
      <c r="H50" s="38"/>
      <c r="I50" s="38"/>
      <c r="J50" s="38"/>
      <c r="K50" s="38"/>
      <c r="L50" s="243" t="s">
        <v>14</v>
      </c>
      <c r="M50" s="243"/>
      <c r="N50" s="243"/>
      <c r="O50" s="243"/>
      <c r="P50" s="50"/>
      <c r="Q50" s="50"/>
      <c r="R50" s="50"/>
      <c r="S50" s="56"/>
    </row>
    <row r="51" spans="1:19" ht="13.5">
      <c r="A51" s="52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39"/>
      <c r="O51" s="39"/>
      <c r="P51" s="50"/>
      <c r="Q51" s="50"/>
      <c r="R51" s="50"/>
      <c r="S51" s="56"/>
    </row>
    <row r="52" spans="1:19" ht="13.5">
      <c r="A52" s="52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6"/>
    </row>
    <row r="53" spans="1:19" ht="13.5">
      <c r="A53" s="52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6"/>
    </row>
    <row r="54" spans="1:19" ht="14.25">
      <c r="A54" s="241" t="s">
        <v>16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2"/>
    </row>
    <row r="55" spans="1:19" ht="13.5">
      <c r="A55" s="241" t="s">
        <v>17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2"/>
    </row>
    <row r="56" spans="1:19" ht="13.5">
      <c r="A56" s="5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9"/>
    </row>
    <row r="57" spans="1:19" ht="13.5">
      <c r="A57" s="72"/>
      <c r="B57" s="73" t="s">
        <v>30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3.5">
      <c r="A58" s="74"/>
      <c r="B58" s="73" t="s">
        <v>31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2"/>
      <c r="O58" s="72"/>
      <c r="P58" s="74"/>
      <c r="Q58" s="74"/>
      <c r="R58" s="74"/>
      <c r="S58" s="74"/>
    </row>
    <row r="59" spans="1:19" ht="13.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ht="13.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3.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3.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3.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3.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3.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3.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3.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3.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3.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3.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3.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3.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3.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3.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3.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3.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3.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3.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3.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3.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3.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3.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3.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3.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3.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3.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3.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3.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3.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3.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3.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3.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3.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3.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3.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</sheetData>
  <sheetProtection/>
  <mergeCells count="72">
    <mergeCell ref="L47:S47"/>
    <mergeCell ref="D50:G50"/>
    <mergeCell ref="L50:O50"/>
    <mergeCell ref="B44:C44"/>
    <mergeCell ref="D44:S44"/>
    <mergeCell ref="C46:D46"/>
    <mergeCell ref="H46:S46"/>
    <mergeCell ref="D48:G48"/>
    <mergeCell ref="A54:S54"/>
    <mergeCell ref="A55:S55"/>
    <mergeCell ref="P48:S48"/>
    <mergeCell ref="A49:C49"/>
    <mergeCell ref="D49:G49"/>
    <mergeCell ref="L49:O49"/>
    <mergeCell ref="P49:S49"/>
    <mergeCell ref="H48:K48"/>
    <mergeCell ref="L48:O48"/>
    <mergeCell ref="A48:C48"/>
    <mergeCell ref="G38:J38"/>
    <mergeCell ref="O38:P38"/>
    <mergeCell ref="Q38:S38"/>
    <mergeCell ref="D39:G39"/>
    <mergeCell ref="O39:P39"/>
    <mergeCell ref="Q39:S39"/>
    <mergeCell ref="A38:F38"/>
    <mergeCell ref="C43:F43"/>
    <mergeCell ref="B12:C12"/>
    <mergeCell ref="D12:S12"/>
    <mergeCell ref="G33:J34"/>
    <mergeCell ref="K33:K35"/>
    <mergeCell ref="L33:L35"/>
    <mergeCell ref="M33:S33"/>
    <mergeCell ref="M34:S34"/>
    <mergeCell ref="G35:J35"/>
    <mergeCell ref="M35:S35"/>
    <mergeCell ref="E36:L36"/>
    <mergeCell ref="E37:L37"/>
    <mergeCell ref="O37:P37"/>
    <mergeCell ref="Q37:S37"/>
    <mergeCell ref="A16:C16"/>
    <mergeCell ref="A17:C17"/>
    <mergeCell ref="A22:S22"/>
    <mergeCell ref="P17:S17"/>
    <mergeCell ref="P16:S16"/>
    <mergeCell ref="M3:S3"/>
    <mergeCell ref="L1:L3"/>
    <mergeCell ref="X5:Y5"/>
    <mergeCell ref="M1:S1"/>
    <mergeCell ref="M2:S2"/>
    <mergeCell ref="E4:L4"/>
    <mergeCell ref="G1:J2"/>
    <mergeCell ref="G3:J3"/>
    <mergeCell ref="E5:L5"/>
    <mergeCell ref="A6:F6"/>
    <mergeCell ref="Q5:S5"/>
    <mergeCell ref="Q6:S6"/>
    <mergeCell ref="Q7:S7"/>
    <mergeCell ref="O7:P7"/>
    <mergeCell ref="G6:J6"/>
    <mergeCell ref="O6:P6"/>
    <mergeCell ref="O5:P5"/>
    <mergeCell ref="J7:K7"/>
    <mergeCell ref="L15:S15"/>
    <mergeCell ref="L16:O16"/>
    <mergeCell ref="C11:F11"/>
    <mergeCell ref="C8:O8"/>
    <mergeCell ref="A23:S23"/>
    <mergeCell ref="C14:D14"/>
    <mergeCell ref="H14:S14"/>
    <mergeCell ref="D16:G16"/>
    <mergeCell ref="D17:G17"/>
    <mergeCell ref="L17:O17"/>
  </mergeCells>
  <conditionalFormatting sqref="H7 C7 H39 C39">
    <cfRule type="expression" priority="1" dxfId="3" stopIfTrue="1">
      <formula>TYPE(A6)=16</formula>
    </cfRule>
  </conditionalFormatting>
  <dataValidations count="3">
    <dataValidation type="list" allowBlank="1" showInputMessage="1" showErrorMessage="1" sqref="T1 I33:J34 I1:J2">
      <formula1>P_TC</formula1>
    </dataValidation>
    <dataValidation type="list" allowBlank="1" showInputMessage="1" showErrorMessage="1" errorTitle="Lỗi" error="Tài khoản chưa đăng ký, chọn TK trong hộp Namebox để đăng ký" sqref="O5:O6 O37:O38">
      <formula1>TK</formula1>
    </dataValidation>
    <dataValidation allowBlank="1" showInputMessage="1" showErrorMessage="1" errorTitle="Lỗi" error="Tài khoản chưa đăng ký, chọn TK trong hộp Namebox để đăng ký" sqref="O7:P7 O39:P39"/>
  </dataValidations>
  <printOptions horizontalCentered="1"/>
  <pageMargins left="0.2" right="0.2" top="0.23" bottom="0.31" header="0.29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showGridLines="0" view="pageBreakPreview" zoomScale="85" zoomScaleNormal="90" zoomScaleSheetLayoutView="85" zoomScalePageLayoutView="0" workbookViewId="0" topLeftCell="A1">
      <selection activeCell="E8" sqref="E8:M8"/>
    </sheetView>
  </sheetViews>
  <sheetFormatPr defaultColWidth="0" defaultRowHeight="14.25"/>
  <cols>
    <col min="1" max="1" width="2.296875" style="6" customWidth="1"/>
    <col min="2" max="2" width="9" style="6" customWidth="1"/>
    <col min="3" max="3" width="9.09765625" style="6" customWidth="1"/>
    <col min="4" max="4" width="4.5" style="6" customWidth="1"/>
    <col min="5" max="5" width="4.296875" style="6" customWidth="1"/>
    <col min="6" max="6" width="3.296875" style="6" customWidth="1"/>
    <col min="7" max="7" width="5.796875" style="6" customWidth="1"/>
    <col min="8" max="8" width="2.796875" style="6" bestFit="1" customWidth="1"/>
    <col min="9" max="9" width="5.796875" style="6" customWidth="1"/>
    <col min="10" max="10" width="2.09765625" style="6" customWidth="1"/>
    <col min="11" max="11" width="4.296875" style="6" customWidth="1"/>
    <col min="12" max="12" width="9.09765625" style="6" customWidth="1"/>
    <col min="13" max="13" width="2" style="6" customWidth="1"/>
    <col min="14" max="14" width="4.19921875" style="6" customWidth="1"/>
    <col min="15" max="15" width="3.59765625" style="6" customWidth="1"/>
    <col min="16" max="16" width="3" style="6" customWidth="1"/>
    <col min="17" max="17" width="2.69921875" style="6" customWidth="1"/>
    <col min="18" max="18" width="1.69921875" style="6" customWidth="1"/>
    <col min="19" max="19" width="10.296875" style="6" customWidth="1"/>
    <col min="20" max="20" width="10.19921875" style="68" customWidth="1"/>
    <col min="21" max="25" width="10.19921875" style="61" customWidth="1"/>
    <col min="26" max="35" width="10.19921875" style="6" customWidth="1"/>
    <col min="36" max="224" width="9" style="6" customWidth="1"/>
    <col min="225" max="225" width="9.796875" style="6" customWidth="1"/>
    <col min="226" max="242" width="0" style="6" hidden="1" customWidth="1"/>
    <col min="243" max="243" width="8.69921875" style="6" hidden="1" customWidth="1"/>
    <col min="244" max="244" width="11.796875" style="6" hidden="1" customWidth="1"/>
    <col min="245" max="249" width="1.69921875" style="6" hidden="1" customWidth="1"/>
    <col min="250" max="250" width="4" style="6" hidden="1" customWidth="1"/>
    <col min="251" max="253" width="1.69921875" style="6" hidden="1" customWidth="1"/>
    <col min="254" max="255" width="2.59765625" style="6" hidden="1" customWidth="1"/>
    <col min="256" max="16384" width="4.69921875" style="6" hidden="1" customWidth="1"/>
  </cols>
  <sheetData>
    <row r="1" spans="1:256" ht="15.75" customHeight="1">
      <c r="A1" s="85" t="str">
        <f>'Danh sách lớp '!B1</f>
        <v>Trung tâm tiếng anh Cô </v>
      </c>
      <c r="B1" s="87"/>
      <c r="C1" s="43"/>
      <c r="D1" s="43"/>
      <c r="E1" s="43"/>
      <c r="F1" s="43"/>
      <c r="G1" s="261" t="s">
        <v>26</v>
      </c>
      <c r="H1" s="261"/>
      <c r="I1" s="261"/>
      <c r="J1" s="261"/>
      <c r="K1" s="272" t="s">
        <v>36</v>
      </c>
      <c r="L1" s="253" t="str">
        <f>T1</f>
        <v>C030/06</v>
      </c>
      <c r="M1" s="256" t="str">
        <f>+IF(LEFT($T$1,1)="T","Mẫu số 01 - TT","Mẫu số 02 - TT")</f>
        <v>Mẫu số 02 - TT</v>
      </c>
      <c r="N1" s="256"/>
      <c r="O1" s="256"/>
      <c r="P1" s="256"/>
      <c r="Q1" s="256"/>
      <c r="R1" s="256"/>
      <c r="S1" s="257"/>
      <c r="T1" s="118" t="s">
        <v>23</v>
      </c>
      <c r="X1" s="62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3.5">
      <c r="A2" s="85" t="str">
        <f>'Danh sách lớp '!B2</f>
        <v>Hà Nội</v>
      </c>
      <c r="B2" s="84"/>
      <c r="C2" s="45"/>
      <c r="D2" s="45"/>
      <c r="E2" s="45"/>
      <c r="F2" s="45"/>
      <c r="G2" s="262"/>
      <c r="H2" s="262"/>
      <c r="I2" s="262"/>
      <c r="J2" s="262"/>
      <c r="K2" s="243"/>
      <c r="L2" s="273"/>
      <c r="M2" s="281" t="s">
        <v>0</v>
      </c>
      <c r="N2" s="281"/>
      <c r="O2" s="281"/>
      <c r="P2" s="281"/>
      <c r="Q2" s="281"/>
      <c r="R2" s="281"/>
      <c r="S2" s="282"/>
      <c r="T2" s="63"/>
      <c r="X2" s="64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7.25" customHeight="1">
      <c r="A3" s="85" t="str">
        <f>'Danh sách lớp '!B3</f>
        <v>Điện thoại : 123456</v>
      </c>
      <c r="B3" s="84"/>
      <c r="C3" s="45"/>
      <c r="D3" s="45"/>
      <c r="E3" s="45"/>
      <c r="F3" s="45"/>
      <c r="G3" s="263" t="s">
        <v>33</v>
      </c>
      <c r="H3" s="263"/>
      <c r="I3" s="263"/>
      <c r="J3" s="263"/>
      <c r="K3" s="243"/>
      <c r="L3" s="273"/>
      <c r="M3" s="279" t="s">
        <v>1</v>
      </c>
      <c r="N3" s="279"/>
      <c r="O3" s="279"/>
      <c r="P3" s="279"/>
      <c r="Q3" s="279"/>
      <c r="R3" s="279"/>
      <c r="S3" s="280"/>
      <c r="T3" s="65"/>
      <c r="X3" s="64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4.25">
      <c r="A4" s="75"/>
      <c r="B4" s="45"/>
      <c r="C4" s="45"/>
      <c r="D4" s="45"/>
      <c r="E4" s="260" t="e">
        <f>+IF($G$1="","",VLOOKUP($T$1,PS,2,0))</f>
        <v>#N/A</v>
      </c>
      <c r="F4" s="260"/>
      <c r="G4" s="260"/>
      <c r="H4" s="260"/>
      <c r="I4" s="260"/>
      <c r="J4" s="260"/>
      <c r="K4" s="260"/>
      <c r="L4" s="260"/>
      <c r="M4" s="46"/>
      <c r="N4" s="48" t="s">
        <v>9</v>
      </c>
      <c r="O4" s="46"/>
      <c r="P4" s="46"/>
      <c r="Q4" s="46"/>
      <c r="R4" s="46"/>
      <c r="S4" s="47"/>
      <c r="T4" s="65"/>
      <c r="X4" s="64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4.25">
      <c r="A5" s="44"/>
      <c r="B5" s="45"/>
      <c r="C5" s="45"/>
      <c r="D5" s="45"/>
      <c r="E5" s="260"/>
      <c r="F5" s="260"/>
      <c r="G5" s="260"/>
      <c r="H5" s="260"/>
      <c r="I5" s="260"/>
      <c r="J5" s="260"/>
      <c r="K5" s="260"/>
      <c r="L5" s="260"/>
      <c r="N5" s="49"/>
      <c r="O5" s="250"/>
      <c r="P5" s="250"/>
      <c r="Q5" s="246"/>
      <c r="R5" s="246"/>
      <c r="S5" s="247"/>
      <c r="T5" s="65"/>
      <c r="X5" s="255"/>
      <c r="Y5" s="255"/>
      <c r="II5" s="11">
        <f>'In phiếu thu tiền'!C11</f>
        <v>5000000</v>
      </c>
      <c r="IJ5" s="12" t="str">
        <f>RIGHT("000000000000"&amp;ROUND(II5,0),12)</f>
        <v>000005000000</v>
      </c>
      <c r="IK5" s="13">
        <v>1</v>
      </c>
      <c r="IL5" s="13">
        <v>2</v>
      </c>
      <c r="IM5" s="13">
        <v>3</v>
      </c>
      <c r="IN5" s="14">
        <v>4</v>
      </c>
      <c r="IO5" s="14">
        <v>5</v>
      </c>
      <c r="IP5" s="14">
        <v>6</v>
      </c>
      <c r="IQ5" s="15">
        <v>7</v>
      </c>
      <c r="IR5" s="15">
        <v>8</v>
      </c>
      <c r="IS5" s="15">
        <v>9</v>
      </c>
      <c r="IT5" s="16">
        <v>10</v>
      </c>
      <c r="IU5" s="16">
        <v>11</v>
      </c>
      <c r="IV5" s="16">
        <v>12</v>
      </c>
    </row>
    <row r="6" spans="1:256" ht="14.25">
      <c r="A6" s="41"/>
      <c r="B6" s="50"/>
      <c r="C6" s="50"/>
      <c r="D6" s="34"/>
      <c r="E6" s="260"/>
      <c r="F6" s="260"/>
      <c r="G6" s="260"/>
      <c r="H6" s="260"/>
      <c r="I6" s="260"/>
      <c r="J6" s="260"/>
      <c r="K6" s="260"/>
      <c r="L6" s="260"/>
      <c r="N6" s="49"/>
      <c r="O6" s="250"/>
      <c r="P6" s="250"/>
      <c r="Q6" s="248"/>
      <c r="R6" s="248"/>
      <c r="S6" s="249"/>
      <c r="T6" s="65"/>
      <c r="II6" s="17"/>
      <c r="IJ6" s="18"/>
      <c r="IK6" s="19">
        <f>VALUE(MID(IJ5,IK5,1))</f>
        <v>0</v>
      </c>
      <c r="IL6" s="19">
        <f>VALUE(MID(IJ5,IL5,1))</f>
        <v>0</v>
      </c>
      <c r="IM6" s="19">
        <f>VALUE(MID(IJ5,IM5,1))</f>
        <v>0</v>
      </c>
      <c r="IN6" s="20">
        <f>VALUE(MID(IJ5,IN5,1))</f>
        <v>0</v>
      </c>
      <c r="IO6" s="20">
        <f>VALUE(MID(IJ5,IO5,1))</f>
        <v>0</v>
      </c>
      <c r="IP6" s="20">
        <f>VALUE(MID(IJ5,IP5,1))</f>
        <v>5</v>
      </c>
      <c r="IQ6" s="21">
        <f>VALUE(MID(IJ5,IQ5,1))</f>
        <v>0</v>
      </c>
      <c r="IR6" s="21">
        <f>VALUE(MID(IJ5,IR5,1))</f>
        <v>0</v>
      </c>
      <c r="IS6" s="21">
        <f>VALUE(MID(IJ5,IS5,1))</f>
        <v>0</v>
      </c>
      <c r="IT6" s="22">
        <f>VALUE(MID(IJ5,IT5,1))</f>
        <v>0</v>
      </c>
      <c r="IU6" s="22">
        <f>VALUE(MID(IJ5,IU5,1))</f>
        <v>0</v>
      </c>
      <c r="IV6" s="22">
        <f>VALUE(MID(IJ5,IV5,1))</f>
        <v>0</v>
      </c>
    </row>
    <row r="7" spans="1:256" ht="13.5">
      <c r="A7" s="41"/>
      <c r="B7" s="50"/>
      <c r="C7" s="50"/>
      <c r="D7" s="34"/>
      <c r="E7" s="34"/>
      <c r="F7" s="34"/>
      <c r="G7" s="34"/>
      <c r="H7" s="34"/>
      <c r="I7" s="34"/>
      <c r="J7" s="34"/>
      <c r="K7" s="34"/>
      <c r="L7" s="34"/>
      <c r="M7" s="51"/>
      <c r="N7" s="51"/>
      <c r="O7" s="250"/>
      <c r="P7" s="250"/>
      <c r="Q7" s="248"/>
      <c r="R7" s="248"/>
      <c r="S7" s="249"/>
      <c r="T7" s="66"/>
      <c r="U7" s="67"/>
      <c r="II7" s="17"/>
      <c r="IJ7" s="18"/>
      <c r="IK7" s="19">
        <f>SUM(IK6:IK6)</f>
        <v>0</v>
      </c>
      <c r="IL7" s="19">
        <f>SUM(IK6:IL6)</f>
        <v>0</v>
      </c>
      <c r="IM7" s="19">
        <f>SUM(IK6:IM6)</f>
        <v>0</v>
      </c>
      <c r="IN7" s="20">
        <f>SUM(IN6:IN6)</f>
        <v>0</v>
      </c>
      <c r="IO7" s="20">
        <f>SUM(IN6:IO6)</f>
        <v>0</v>
      </c>
      <c r="IP7" s="20">
        <f>SUM(IN6:IP6)</f>
        <v>5</v>
      </c>
      <c r="IQ7" s="21">
        <f>SUM(IQ6:IQ6)</f>
        <v>0</v>
      </c>
      <c r="IR7" s="21">
        <f>SUM(IQ6:IR6)</f>
        <v>0</v>
      </c>
      <c r="IS7" s="21">
        <f>SUM(IQ6:IS6)</f>
        <v>0</v>
      </c>
      <c r="IT7" s="22">
        <f>SUM(IT6:IT6)</f>
        <v>0</v>
      </c>
      <c r="IU7" s="22">
        <f>SUM(IT6:IU6)</f>
        <v>0</v>
      </c>
      <c r="IV7" s="22">
        <f>SUM(IT6:IV6)</f>
        <v>0</v>
      </c>
    </row>
    <row r="8" spans="1:256" ht="16.5" customHeight="1">
      <c r="A8" s="52"/>
      <c r="B8" s="34" t="str">
        <f>IF(LEFT(T1,1)="T","Họ tên người nộp tiền :","Họ và tên người nhận tiền :")</f>
        <v>Họ và tên người nhận tiền :</v>
      </c>
      <c r="C8" s="34"/>
      <c r="E8" s="274">
        <f>IF(ISNA(VLOOKUP($T$1,PS,12,0))=TRUE,"",VLOOKUP($T$1,PS,12,0))</f>
      </c>
      <c r="F8" s="274"/>
      <c r="G8" s="274"/>
      <c r="H8" s="274"/>
      <c r="I8" s="274"/>
      <c r="J8" s="274"/>
      <c r="K8" s="274"/>
      <c r="L8" s="274"/>
      <c r="M8" s="274"/>
      <c r="N8" s="34"/>
      <c r="O8" s="34"/>
      <c r="P8" s="34"/>
      <c r="Q8" s="34"/>
      <c r="R8" s="34"/>
      <c r="S8" s="40"/>
      <c r="T8" s="65"/>
      <c r="U8" s="67"/>
      <c r="II8" s="17"/>
      <c r="IJ8" s="18"/>
      <c r="IK8" s="23">
        <f>IF(IK6=0,"",CHOOSE(IK6,"một","hai","ba","bốn","năm","sáu","bảy","tám","chín"))</f>
      </c>
      <c r="IL8" s="23">
        <f>IF(IL6=0,IF(AND(IK6&lt;&gt;0,IM6&lt;&gt;0),"lẻ",""),CHOOSE(IL6,"mười","hai","ba","bốn","năm","sáu","bảy","tám","chín"))</f>
      </c>
      <c r="IM8" s="23">
        <f>IF(IM6=0,"",CHOOSE(IM6,IF(IL6&gt;1,"mốt","một"),"hai","ba","bốn",IF(IL6=0,"năm","lăm"),"sáu","bảy","tám","chín"))</f>
      </c>
      <c r="IN8" s="24">
        <f>IF(IN6=0,"",CHOOSE(IN6,"một","hai","ba","bốn","năm","sáu","bảy","tám","chín"))</f>
      </c>
      <c r="IO8" s="24">
        <f>IF(IO6=0,IF(AND(IN6&lt;&gt;0,IP6&lt;&gt;0),"lẻ",""),CHOOSE(IO6,"mười","hai","ba","bốn","năm","sáu","bảy","tám","chín"))</f>
      </c>
      <c r="IP8" s="24" t="str">
        <f>IF(IP6=0,"",CHOOSE(IP6,IF(IO6&gt;1,"mốt","một"),"hai","ba","bốn",IF(IO6=0,"năm","lăm"),"sáu","bảy","tám","chín"))</f>
        <v>năm</v>
      </c>
      <c r="IQ8" s="25">
        <f>IF(IQ6=0,"",CHOOSE(IQ6,"một","hai","ba","bốn","năm","sáu","bảy","tám","chín"))</f>
      </c>
      <c r="IR8" s="25">
        <f>IF(IR6=0,IF(AND(IQ6&lt;&gt;0,IS6&lt;&gt;0),"lẻ",""),CHOOSE(IR6,"mười","hai","ba","bốn","năm","sáu","bảy","tám","chín"))</f>
      </c>
      <c r="IS8" s="25">
        <f>IF(IS6=0,"",CHOOSE(IS6,IF(IR6&gt;1,"mốt","một"),"hai","ba","bốn",IF(IR6=0,"năm","lăm"),"sáu","bảy","tám","chín"))</f>
      </c>
      <c r="IT8" s="26">
        <f>IF(IT6=0,"",CHOOSE(IT6,"một","hai","ba","bốn","năm","sáu","bảy","tám","chín"))</f>
      </c>
      <c r="IU8" s="26">
        <f>IF(IU6=0,IF(AND(IT6&lt;&gt;0,IV6&lt;&gt;0),"lẻ",""),CHOOSE(IU6,"mười","hai","ba","bốn","năm","sáu","bảy","tám","chín"))</f>
      </c>
      <c r="IV8" s="26">
        <f>IF(IV6=0,"",CHOOSE(IV6,IF(IU6&gt;1,"mốt","một"),"hai","ba","bốn",IF(IU6=0,"năm","lăm"),"sáu","bảy","tám","chín"))</f>
      </c>
    </row>
    <row r="9" spans="1:256" ht="16.5" customHeight="1">
      <c r="A9" s="52"/>
      <c r="B9" s="34" t="s">
        <v>45</v>
      </c>
      <c r="C9" s="240" t="s">
        <v>24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2"/>
      <c r="T9" s="65"/>
      <c r="II9" s="17"/>
      <c r="IJ9" s="18"/>
      <c r="IK9" s="27">
        <f>IF(IK6=0,"","trăm")</f>
      </c>
      <c r="IL9" s="27">
        <f>IF(IL6=0,"",IF(IL6=1,"","mươi"))</f>
      </c>
      <c r="IM9" s="27">
        <f>IF(AND(IM6=0,IM7=0),"","tỷ")</f>
      </c>
      <c r="IN9" s="28">
        <f>IF(IN6=0,"","trăm")</f>
      </c>
      <c r="IO9" s="28">
        <f>IF(IO6=0,"",IF(IO6=1,"","mươi"))</f>
      </c>
      <c r="IP9" s="28" t="str">
        <f>IF(AND(IP6=0,IP7=0),"","triệu")</f>
        <v>triệu</v>
      </c>
      <c r="IQ9" s="29">
        <f>IF(IQ6=0,"","trăm")</f>
      </c>
      <c r="IR9" s="29">
        <f>IF(IR6=0,"",IF(IR6=1,"","mươi"))</f>
      </c>
      <c r="IS9" s="29">
        <f>IF(AND(IS6=0,IS7=0),"","ngàn")</f>
      </c>
      <c r="IT9" s="30">
        <f>IF(IT6=0,"","trăm")</f>
      </c>
      <c r="IU9" s="30">
        <f>IF(IU6=0,"",IF(IU6=1,"","mươi"))</f>
      </c>
      <c r="IV9" s="30" t="s">
        <v>37</v>
      </c>
    </row>
    <row r="10" spans="1:256" ht="16.5" customHeight="1">
      <c r="A10" s="52"/>
      <c r="B10" s="54" t="str">
        <f>IF(LEFT(T1,1)="T","Lý do nộp :","Lý do chi :")</f>
        <v>Lý do chi :</v>
      </c>
      <c r="D10" s="54" t="e">
        <f>IF($G$1="","",VLOOKUP($T$1,PS,3,0))</f>
        <v>#N/A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II10" s="17"/>
      <c r="IJ10" s="31" t="str">
        <f>UPPER(LEFT(TRIM(IF(II5=0,"không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"&amp;IV9)),1))&amp;RIGHT(TRIM(IF(II5=0,"không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"&amp;IV9)),LEN(TRIM(IF(II5=0,"không đồng.",IK8&amp;" "&amp;IK9&amp;" "&amp;IL8&amp;" "&amp;IL9&amp;" "&amp;IM8&amp;" "&amp;IM9&amp;" "&amp;IN8&amp;" "&amp;IN9&amp;" "&amp;IO8&amp;" "&amp;IO9&amp;" "&amp;IP8&amp;" "&amp;IP9&amp;" "&amp;IQ8&amp;" "&amp;IQ9&amp;" "&amp;IR8&amp;" "&amp;IR9&amp;" "&amp;IS8&amp;" "&amp;IS9&amp;" "&amp;IT8&amp;" "&amp;IT9&amp;" "&amp;IU8&amp;" "&amp;IU9&amp;" "&amp;IV8&amp;" "&amp;IV9)))-1)</f>
        <v>Năm triệu đồng.</v>
      </c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6.5" customHeight="1">
      <c r="A11" s="5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6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>
      <c r="A12" s="52"/>
      <c r="B12" s="50" t="s">
        <v>35</v>
      </c>
      <c r="C12" s="239" t="e">
        <f>IF($G$1="","",VLOOKUP($T$1,PS,11,0))+IF(VLOOKUP($T$1,PS,11,0)&gt;0,VLOOKUP($T$1,PS,16,0),0)</f>
        <v>#N/A</v>
      </c>
      <c r="D12" s="239"/>
      <c r="E12" s="239"/>
      <c r="F12" s="239"/>
      <c r="G12" s="240" t="s">
        <v>29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2"/>
      <c r="T12" s="61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34" ht="16.5" customHeight="1">
      <c r="A13" s="52"/>
      <c r="B13" s="269" t="s">
        <v>28</v>
      </c>
      <c r="C13" s="269"/>
      <c r="D13" s="275" t="e">
        <f>V18</f>
        <v>#N/A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6"/>
      <c r="T13" s="65"/>
      <c r="U13" s="92" t="e">
        <f>C12</f>
        <v>#N/A</v>
      </c>
      <c r="V13" s="93" t="e">
        <f>RIGHT("000000000000"&amp;ROUND(U13,0),12)</f>
        <v>#N/A</v>
      </c>
      <c r="W13" s="94">
        <v>1</v>
      </c>
      <c r="X13" s="94">
        <v>2</v>
      </c>
      <c r="Y13" s="94">
        <v>3</v>
      </c>
      <c r="Z13" s="95">
        <v>4</v>
      </c>
      <c r="AA13" s="95">
        <v>5</v>
      </c>
      <c r="AB13" s="95">
        <v>6</v>
      </c>
      <c r="AC13" s="96">
        <v>7</v>
      </c>
      <c r="AD13" s="96">
        <v>8</v>
      </c>
      <c r="AE13" s="96">
        <v>9</v>
      </c>
      <c r="AF13" s="97">
        <v>10</v>
      </c>
      <c r="AG13" s="97">
        <v>11</v>
      </c>
      <c r="AH13" s="97">
        <v>12</v>
      </c>
    </row>
    <row r="14" spans="1:34" ht="16.5" customHeight="1">
      <c r="A14" s="5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65"/>
      <c r="U14" s="98"/>
      <c r="V14" s="99"/>
      <c r="W14" s="100" t="e">
        <f>VALUE(MID(V13,W13,1))</f>
        <v>#N/A</v>
      </c>
      <c r="X14" s="100" t="e">
        <f>VALUE(MID(V13,X13,1))</f>
        <v>#N/A</v>
      </c>
      <c r="Y14" s="100" t="e">
        <f>VALUE(MID(V13,Y13,1))</f>
        <v>#N/A</v>
      </c>
      <c r="Z14" s="101" t="e">
        <f>VALUE(MID(V13,Z13,1))</f>
        <v>#N/A</v>
      </c>
      <c r="AA14" s="101" t="e">
        <f>VALUE(MID(V13,AA13,1))</f>
        <v>#N/A</v>
      </c>
      <c r="AB14" s="101" t="e">
        <f>VALUE(MID(V13,AB13,1))</f>
        <v>#N/A</v>
      </c>
      <c r="AC14" s="102" t="e">
        <f>VALUE(MID(V13,AC13,1))</f>
        <v>#N/A</v>
      </c>
      <c r="AD14" s="102" t="e">
        <f>VALUE(MID(V13,AD13,1))</f>
        <v>#N/A</v>
      </c>
      <c r="AE14" s="102" t="e">
        <f>VALUE(MID(V13,AE13,1))</f>
        <v>#N/A</v>
      </c>
      <c r="AF14" s="103" t="e">
        <f>VALUE(MID(V13,AF13,1))</f>
        <v>#N/A</v>
      </c>
      <c r="AG14" s="103" t="e">
        <f>VALUE(MID(V13,AG13,1))</f>
        <v>#N/A</v>
      </c>
      <c r="AH14" s="103" t="e">
        <f>VALUE(MID(V13,AH13,1))</f>
        <v>#N/A</v>
      </c>
    </row>
    <row r="15" spans="1:34" ht="16.5" customHeight="1">
      <c r="A15" s="52"/>
      <c r="B15" s="34" t="s">
        <v>4</v>
      </c>
      <c r="C15" s="243" t="e">
        <f>IF(IF($G$1="","",VLOOKUP($T$1,PS,14,0))&lt;&gt;0,IF($G$1="","",VLOOKUP($T$1,PS,14,0)),"")</f>
        <v>#N/A</v>
      </c>
      <c r="D15" s="243"/>
      <c r="E15" s="50" t="s">
        <v>5</v>
      </c>
      <c r="F15" s="39"/>
      <c r="G15" s="39"/>
      <c r="H15" s="240" t="e">
        <f>IF(IF($G$1="","",VLOOKUP($T$1,PS,15,0))&lt;&gt;0,IF($G$1="","",VLOOKUP($T$1,PS,15,0)),"")</f>
        <v>#N/A</v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2"/>
      <c r="T15" s="65"/>
      <c r="U15" s="98"/>
      <c r="V15" s="99"/>
      <c r="W15" s="100" t="e">
        <f>SUM(W14:W14)</f>
        <v>#N/A</v>
      </c>
      <c r="X15" s="100" t="e">
        <f>SUM(W14:X14)</f>
        <v>#N/A</v>
      </c>
      <c r="Y15" s="100" t="e">
        <f>SUM(W14:Y14)</f>
        <v>#N/A</v>
      </c>
      <c r="Z15" s="101" t="e">
        <f>SUM(Z14:Z14)</f>
        <v>#N/A</v>
      </c>
      <c r="AA15" s="101" t="e">
        <f>SUM(Z14:AA14)</f>
        <v>#N/A</v>
      </c>
      <c r="AB15" s="101" t="e">
        <f>SUM(Z14:AB14)</f>
        <v>#N/A</v>
      </c>
      <c r="AC15" s="102" t="e">
        <f>SUM(AC14:AC14)</f>
        <v>#N/A</v>
      </c>
      <c r="AD15" s="102" t="e">
        <f>SUM(AC14:AD14)</f>
        <v>#N/A</v>
      </c>
      <c r="AE15" s="102" t="e">
        <f>SUM(AC14:AE14)</f>
        <v>#N/A</v>
      </c>
      <c r="AF15" s="103" t="e">
        <f>SUM(AF14:AF14)</f>
        <v>#N/A</v>
      </c>
      <c r="AG15" s="103" t="e">
        <f>SUM(AF14:AG14)</f>
        <v>#N/A</v>
      </c>
      <c r="AH15" s="103" t="e">
        <f>SUM(AF14:AH14)</f>
        <v>#N/A</v>
      </c>
    </row>
    <row r="16" spans="1:34" ht="16.5" customHeight="1">
      <c r="A16" s="5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36"/>
      <c r="N16" s="277" t="e">
        <f>E4</f>
        <v>#N/A</v>
      </c>
      <c r="O16" s="277"/>
      <c r="P16" s="277"/>
      <c r="Q16" s="277"/>
      <c r="R16" s="277"/>
      <c r="S16" s="278"/>
      <c r="T16" s="70"/>
      <c r="U16" s="98"/>
      <c r="V16" s="99"/>
      <c r="W16" s="104" t="e">
        <f>IF(W14=0,"",CHOOSE(W14,"một","hai","ba","bốn","năm","sáu","bảy","tám","chín"))</f>
        <v>#N/A</v>
      </c>
      <c r="X16" s="104" t="e">
        <f>IF(X14=0,IF(AND(W14&lt;&gt;0,Y14&lt;&gt;0),"lẻ",""),CHOOSE(X14,"mười","hai","ba","bốn","năm","sáu","bảy","tám","chín"))</f>
        <v>#N/A</v>
      </c>
      <c r="Y16" s="104" t="e">
        <f>IF(Y14=0,"",CHOOSE(Y14,IF(X14&gt;1,"mốt","một"),"hai","ba","bốn",IF(X14=0,"năm","lăm"),"sáu","bảy","tám","chín"))</f>
        <v>#N/A</v>
      </c>
      <c r="Z16" s="105" t="e">
        <f>IF(Z14=0,"",CHOOSE(Z14,"một","hai","ba","bốn","năm","sáu","bảy","tám","chín"))</f>
        <v>#N/A</v>
      </c>
      <c r="AA16" s="105" t="e">
        <f>IF(AA14=0,IF(AND(Z14&lt;&gt;0,AB14&lt;&gt;0),"lẻ",""),CHOOSE(AA14,"mười","hai","ba","bốn","năm","sáu","bảy","tám","chín"))</f>
        <v>#N/A</v>
      </c>
      <c r="AB16" s="105" t="e">
        <f>IF(AB14=0,"",CHOOSE(AB14,IF(AA14&gt;1,"mốt","một"),"hai","ba","bốn",IF(AA14=0,"năm","lăm"),"sáu","bảy","tám","chín"))</f>
        <v>#N/A</v>
      </c>
      <c r="AC16" s="106" t="e">
        <f>IF(AC14=0,"",CHOOSE(AC14,"một","hai","ba","bốn","năm","sáu","bảy","tám","chín"))</f>
        <v>#N/A</v>
      </c>
      <c r="AD16" s="106" t="e">
        <f>IF(AD14=0,IF(AND(AC14&lt;&gt;0,AE14&lt;&gt;0),"lẻ",""),CHOOSE(AD14,"mười","hai","ba","bốn","năm","sáu","bảy","tám","chín"))</f>
        <v>#N/A</v>
      </c>
      <c r="AE16" s="106" t="e">
        <f>IF(AE14=0,"",CHOOSE(AE14,IF(AD14&gt;1,"mốt","một"),"hai","ba","bốn",IF(AD14=0,"năm","lăm"),"sáu","bảy","tám","chín"))</f>
        <v>#N/A</v>
      </c>
      <c r="AF16" s="107" t="e">
        <f>IF(AF14=0,"",CHOOSE(AF14,"một","hai","ba","bốn","năm","sáu","bảy","tám","chín"))</f>
        <v>#N/A</v>
      </c>
      <c r="AG16" s="107" t="e">
        <f>IF(AG14=0,IF(AND(AF14&lt;&gt;0,AH14&lt;&gt;0),"lẻ",""),CHOOSE(AG14,"mười","hai","ba","bốn","năm","sáu","bảy","tám","chín"))</f>
        <v>#N/A</v>
      </c>
      <c r="AH16" s="107" t="e">
        <f>IF(AH14=0,"",CHOOSE(AH14,IF(AG14&gt;1,"mốt","một"),"hai","ba","bốn",IF(AG14=0,"năm","lăm"),"sáu","bảy","tám","chín"))</f>
        <v>#N/A</v>
      </c>
    </row>
    <row r="17" spans="1:34" ht="16.5" customHeight="1">
      <c r="A17" s="264" t="s">
        <v>42</v>
      </c>
      <c r="B17" s="238"/>
      <c r="C17" s="238"/>
      <c r="D17" s="238" t="s">
        <v>44</v>
      </c>
      <c r="E17" s="238"/>
      <c r="F17" s="238"/>
      <c r="G17" s="238"/>
      <c r="H17" s="238" t="s">
        <v>7</v>
      </c>
      <c r="I17" s="238"/>
      <c r="J17" s="238"/>
      <c r="K17" s="238"/>
      <c r="L17" s="238" t="s">
        <v>32</v>
      </c>
      <c r="M17" s="238"/>
      <c r="N17" s="238"/>
      <c r="O17" s="238"/>
      <c r="P17" s="267" t="s">
        <v>13</v>
      </c>
      <c r="Q17" s="267"/>
      <c r="R17" s="267"/>
      <c r="S17" s="268"/>
      <c r="T17" s="70"/>
      <c r="U17" s="98"/>
      <c r="V17" s="99"/>
      <c r="W17" s="108" t="e">
        <f>IF(W14=0,"","trăm")</f>
        <v>#N/A</v>
      </c>
      <c r="X17" s="108" t="e">
        <f>IF(X14=0,"",IF(X14=1,"","mươi"))</f>
        <v>#N/A</v>
      </c>
      <c r="Y17" s="108" t="e">
        <f>IF(AND(Y14=0,Y15=0),"","tỷ")</f>
        <v>#N/A</v>
      </c>
      <c r="Z17" s="109" t="e">
        <f>IF(Z14=0,"","trăm")</f>
        <v>#N/A</v>
      </c>
      <c r="AA17" s="109" t="e">
        <f>IF(AA14=0,"",IF(AA14=1,"","mươi"))</f>
        <v>#N/A</v>
      </c>
      <c r="AB17" s="109" t="e">
        <f>IF(AND(AB14=0,AB15=0),"","triệu")</f>
        <v>#N/A</v>
      </c>
      <c r="AC17" s="110" t="e">
        <f>IF(AC14=0,"","trăm")</f>
        <v>#N/A</v>
      </c>
      <c r="AD17" s="110" t="e">
        <f>IF(AD14=0,"",IF(AD14=1,"","mươi"))</f>
        <v>#N/A</v>
      </c>
      <c r="AE17" s="110" t="e">
        <f>IF(AND(AE14=0,AE15=0),"","ngàn")</f>
        <v>#N/A</v>
      </c>
      <c r="AF17" s="111" t="e">
        <f>IF(AF14=0,"","trăm")</f>
        <v>#N/A</v>
      </c>
      <c r="AG17" s="111" t="e">
        <f>IF(AG14=0,"",IF(AG14=1,"","mươi"))</f>
        <v>#N/A</v>
      </c>
      <c r="AH17" s="111" t="s">
        <v>37</v>
      </c>
    </row>
    <row r="18" spans="1:34" s="38" customFormat="1" ht="16.5" customHeight="1">
      <c r="A18" s="265" t="s">
        <v>15</v>
      </c>
      <c r="B18" s="243"/>
      <c r="C18" s="243"/>
      <c r="D18" s="243" t="s">
        <v>14</v>
      </c>
      <c r="E18" s="243"/>
      <c r="F18" s="243"/>
      <c r="G18" s="243"/>
      <c r="H18" s="243" t="s">
        <v>14</v>
      </c>
      <c r="I18" s="243"/>
      <c r="J18" s="243"/>
      <c r="K18" s="243"/>
      <c r="L18" s="243" t="s">
        <v>14</v>
      </c>
      <c r="M18" s="243"/>
      <c r="N18" s="243"/>
      <c r="O18" s="243"/>
      <c r="P18" s="243" t="s">
        <v>14</v>
      </c>
      <c r="Q18" s="243"/>
      <c r="R18" s="243"/>
      <c r="S18" s="266"/>
      <c r="T18" s="71"/>
      <c r="U18" s="98"/>
      <c r="V18" s="112" t="e">
        <f>UPPER(LEFT(TRIM(IF(U13=0,"không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"&amp;AH17)),1))&amp;RIGHT(TRIM(IF(U13=0,"không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"&amp;AH17)),LEN(TRIM(IF(U13=0,"không đồng.",W16&amp;" "&amp;W17&amp;" "&amp;X16&amp;" "&amp;X17&amp;" "&amp;Y16&amp;" "&amp;Y17&amp;" "&amp;Z16&amp;" "&amp;Z17&amp;" "&amp;AA16&amp;" "&amp;AA17&amp;" "&amp;AB16&amp;" "&amp;AB17&amp;" "&amp;AC16&amp;" "&amp;AC17&amp;" "&amp;AD16&amp;" "&amp;AD17&amp;" "&amp;AE16&amp;" "&amp;AE17&amp;" "&amp;AF16&amp;" "&amp;AF17&amp;" "&amp;AG16&amp;" "&amp;AG17&amp;" "&amp;AH16&amp;" "&amp;AH17)))-1)</f>
        <v>#N/A</v>
      </c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20" ht="16.5" customHeight="1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6"/>
      <c r="T19" s="65"/>
    </row>
    <row r="20" spans="1:20" ht="16.5" customHeight="1">
      <c r="A20" s="5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6"/>
      <c r="T20" s="65"/>
    </row>
    <row r="21" spans="1:20" ht="16.5" customHeight="1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6"/>
      <c r="T21" s="65"/>
    </row>
    <row r="22" spans="1:20" ht="13.5">
      <c r="A22" s="52"/>
      <c r="B22" s="86" t="s">
        <v>18</v>
      </c>
      <c r="C22" s="86"/>
      <c r="D22" s="86" t="s">
        <v>21</v>
      </c>
      <c r="E22" s="86"/>
      <c r="F22" s="86"/>
      <c r="G22" s="86"/>
      <c r="H22" s="86"/>
      <c r="I22" s="86" t="s">
        <v>20</v>
      </c>
      <c r="J22" s="86"/>
      <c r="K22" s="86"/>
      <c r="L22" s="50"/>
      <c r="M22" s="50"/>
      <c r="N22" s="50"/>
      <c r="O22" s="50"/>
      <c r="P22" s="50"/>
      <c r="Q22" s="50"/>
      <c r="R22" s="50"/>
      <c r="S22" s="56"/>
      <c r="T22" s="65"/>
    </row>
    <row r="23" spans="1:20" ht="30.75" customHeight="1">
      <c r="A23" s="241" t="s">
        <v>16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2"/>
      <c r="T23" s="65"/>
    </row>
    <row r="24" spans="1:20" ht="22.5" customHeight="1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9"/>
      <c r="T24" s="65"/>
    </row>
    <row r="25" spans="1:20" ht="1.5" customHeight="1">
      <c r="A25" s="72"/>
      <c r="B25" s="73" t="s">
        <v>11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65"/>
    </row>
    <row r="26" spans="1:20" ht="13.5">
      <c r="A26" s="74"/>
      <c r="B26" s="73" t="s">
        <v>12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5"/>
    </row>
    <row r="27" spans="1:19" ht="13.5">
      <c r="A27" s="42" t="str">
        <f>A1</f>
        <v>Trung tâm tiếng anh Cô </v>
      </c>
      <c r="B27" s="43"/>
      <c r="C27" s="43"/>
      <c r="D27" s="43"/>
      <c r="E27" s="43"/>
      <c r="F27" s="43"/>
      <c r="G27" s="261" t="str">
        <f>IF(LEFT($T$1,1)="T","PHIẾU THU","PHIẾU CHI")</f>
        <v>PHIẾU CHI</v>
      </c>
      <c r="H27" s="261"/>
      <c r="I27" s="261"/>
      <c r="J27" s="261"/>
      <c r="K27" s="272" t="s">
        <v>36</v>
      </c>
      <c r="L27" s="253" t="str">
        <f>L1</f>
        <v>C030/06</v>
      </c>
      <c r="M27" s="256" t="str">
        <f>+IF(LEFT($T$1,1)="T","Mẫu số 01 - TT","Mẫu số 02 - TT")</f>
        <v>Mẫu số 02 - TT</v>
      </c>
      <c r="N27" s="256"/>
      <c r="O27" s="256"/>
      <c r="P27" s="256"/>
      <c r="Q27" s="256"/>
      <c r="R27" s="256"/>
      <c r="S27" s="257"/>
    </row>
    <row r="28" spans="1:19" ht="13.5">
      <c r="A28" s="42" t="str">
        <f>A2</f>
        <v>Hà Nội</v>
      </c>
      <c r="B28" s="45"/>
      <c r="C28" s="45"/>
      <c r="D28" s="45"/>
      <c r="E28" s="45"/>
      <c r="F28" s="45"/>
      <c r="G28" s="262"/>
      <c r="H28" s="262"/>
      <c r="I28" s="262"/>
      <c r="J28" s="262"/>
      <c r="K28" s="243"/>
      <c r="L28" s="273"/>
      <c r="M28" s="281" t="s">
        <v>0</v>
      </c>
      <c r="N28" s="281"/>
      <c r="O28" s="281"/>
      <c r="P28" s="281"/>
      <c r="Q28" s="281"/>
      <c r="R28" s="281"/>
      <c r="S28" s="282"/>
    </row>
    <row r="29" spans="1:19" ht="13.5">
      <c r="A29" s="42"/>
      <c r="B29" s="45"/>
      <c r="C29" s="45"/>
      <c r="D29" s="45"/>
      <c r="E29" s="45"/>
      <c r="F29" s="45"/>
      <c r="G29" s="263" t="s">
        <v>25</v>
      </c>
      <c r="H29" s="263"/>
      <c r="I29" s="263"/>
      <c r="J29" s="263"/>
      <c r="K29" s="243"/>
      <c r="L29" s="273"/>
      <c r="M29" s="279" t="s">
        <v>1</v>
      </c>
      <c r="N29" s="279"/>
      <c r="O29" s="279"/>
      <c r="P29" s="279"/>
      <c r="Q29" s="279"/>
      <c r="R29" s="279"/>
      <c r="S29" s="280"/>
    </row>
    <row r="30" spans="1:19" ht="14.25">
      <c r="A30" s="44"/>
      <c r="B30" s="45"/>
      <c r="C30" s="45"/>
      <c r="D30" s="45"/>
      <c r="E30" s="260" t="e">
        <f>E4</f>
        <v>#N/A</v>
      </c>
      <c r="F30" s="260"/>
      <c r="G30" s="260"/>
      <c r="H30" s="260"/>
      <c r="I30" s="260"/>
      <c r="J30" s="260"/>
      <c r="K30" s="260"/>
      <c r="L30" s="260"/>
      <c r="M30" s="46"/>
      <c r="N30" s="48" t="s">
        <v>9</v>
      </c>
      <c r="O30" s="46"/>
      <c r="P30" s="46"/>
      <c r="Q30" s="46"/>
      <c r="R30" s="46"/>
      <c r="S30" s="47"/>
    </row>
    <row r="31" spans="1:19" ht="14.25">
      <c r="A31" s="44"/>
      <c r="B31" s="45"/>
      <c r="C31" s="45"/>
      <c r="D31" s="45"/>
      <c r="E31" s="260"/>
      <c r="F31" s="260"/>
      <c r="G31" s="260"/>
      <c r="H31" s="260"/>
      <c r="I31" s="260"/>
      <c r="J31" s="260"/>
      <c r="K31" s="260"/>
      <c r="L31" s="260"/>
      <c r="N31" s="49" t="s">
        <v>40</v>
      </c>
      <c r="O31" s="250">
        <f>O5</f>
        <v>0</v>
      </c>
      <c r="P31" s="250"/>
      <c r="Q31" s="246">
        <f>Q5</f>
        <v>0</v>
      </c>
      <c r="R31" s="246"/>
      <c r="S31" s="247"/>
    </row>
    <row r="32" spans="1:19" ht="14.25">
      <c r="A32" s="41"/>
      <c r="B32" s="50"/>
      <c r="C32" s="50"/>
      <c r="D32" s="34"/>
      <c r="E32" s="260"/>
      <c r="F32" s="260"/>
      <c r="G32" s="260"/>
      <c r="H32" s="260"/>
      <c r="I32" s="260"/>
      <c r="J32" s="260"/>
      <c r="K32" s="260"/>
      <c r="L32" s="260"/>
      <c r="N32" s="49" t="str">
        <f>IF(Q32&lt;&gt;" ","Nợ","")</f>
        <v>Nợ</v>
      </c>
      <c r="O32" s="250">
        <f>O6</f>
        <v>0</v>
      </c>
      <c r="P32" s="250"/>
      <c r="Q32" s="246">
        <f>Q6</f>
        <v>0</v>
      </c>
      <c r="R32" s="246"/>
      <c r="S32" s="247"/>
    </row>
    <row r="33" spans="1:19" ht="13.5">
      <c r="A33" s="41"/>
      <c r="B33" s="50"/>
      <c r="C33" s="50"/>
      <c r="D33" s="34"/>
      <c r="E33" s="34"/>
      <c r="F33" s="34"/>
      <c r="G33" s="34"/>
      <c r="H33" s="34"/>
      <c r="I33" s="34"/>
      <c r="J33" s="34"/>
      <c r="K33" s="34"/>
      <c r="L33" s="34"/>
      <c r="M33" s="51"/>
      <c r="N33" s="51" t="s">
        <v>41</v>
      </c>
      <c r="O33" s="250">
        <f>O7</f>
        <v>0</v>
      </c>
      <c r="P33" s="250"/>
      <c r="Q33" s="246">
        <f>Q7</f>
        <v>0</v>
      </c>
      <c r="R33" s="246"/>
      <c r="S33" s="247"/>
    </row>
    <row r="34" spans="1:19" ht="13.5">
      <c r="A34" s="52"/>
      <c r="B34" s="34" t="str">
        <f>B8</f>
        <v>Họ và tên người nhận tiền :</v>
      </c>
      <c r="C34" s="34"/>
      <c r="E34" s="126">
        <f>E8</f>
      </c>
      <c r="F34" s="34"/>
      <c r="G34" s="34"/>
      <c r="H34" s="34"/>
      <c r="L34" s="53">
        <f>+IF(ISNA(VLOOKUP($L$1,PS,12,0))=TRUE,"",VLOOKUP($L$1,PS,13,0))</f>
      </c>
      <c r="M34" s="34"/>
      <c r="N34" s="34"/>
      <c r="O34" s="34"/>
      <c r="P34" s="34"/>
      <c r="Q34" s="34"/>
      <c r="R34" s="34"/>
      <c r="S34" s="40"/>
    </row>
    <row r="35" spans="1:19" ht="13.5">
      <c r="A35" s="52"/>
      <c r="B35" s="34" t="str">
        <f>B9</f>
        <v>Địa chỉ :</v>
      </c>
      <c r="D35" s="34" t="str">
        <f>C9</f>
        <v>Tổng công ty viễn thông quân đội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0"/>
    </row>
    <row r="36" spans="1:19" ht="13.5">
      <c r="A36" s="52"/>
      <c r="B36" s="34" t="str">
        <f>B10</f>
        <v>Lý do chi :</v>
      </c>
      <c r="D36" s="54" t="e">
        <f>IF($G$1="","",VLOOKUP($T$1,PS,3,0))</f>
        <v>#N/A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ht="13.5">
      <c r="A37" s="52"/>
      <c r="B37" s="3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13.5">
      <c r="A38" s="52"/>
      <c r="B38" s="34" t="str">
        <f>B12</f>
        <v>Số tiền</v>
      </c>
      <c r="C38" s="239" t="e">
        <f>C12</f>
        <v>#N/A</v>
      </c>
      <c r="D38" s="239"/>
      <c r="E38" s="239"/>
      <c r="F38" s="239"/>
      <c r="G38" s="240" t="s">
        <v>2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2"/>
    </row>
    <row r="39" spans="1:19" ht="14.25" customHeight="1">
      <c r="A39" s="52"/>
      <c r="B39" s="269" t="s">
        <v>28</v>
      </c>
      <c r="C39" s="269"/>
      <c r="D39" s="275" t="e">
        <f>D13</f>
        <v>#N/A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6"/>
    </row>
    <row r="40" spans="1:19" ht="14.25" customHeight="1">
      <c r="A40" s="52"/>
      <c r="B40" s="269"/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1"/>
    </row>
    <row r="41" spans="1:19" ht="13.5">
      <c r="A41" s="52"/>
      <c r="B41" s="34" t="str">
        <f>B15</f>
        <v>Kèm theo</v>
      </c>
      <c r="C41" s="243" t="e">
        <f>C15</f>
        <v>#N/A</v>
      </c>
      <c r="D41" s="243"/>
      <c r="E41" s="50" t="s">
        <v>5</v>
      </c>
      <c r="F41" s="39"/>
      <c r="G41" s="39"/>
      <c r="H41" s="240" t="e">
        <f>H15</f>
        <v>#N/A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2"/>
    </row>
    <row r="42" spans="1:19" ht="14.25">
      <c r="A42" s="5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283" t="e">
        <f>N16</f>
        <v>#N/A</v>
      </c>
      <c r="M42" s="283"/>
      <c r="N42" s="283"/>
      <c r="O42" s="283"/>
      <c r="P42" s="283"/>
      <c r="Q42" s="283"/>
      <c r="R42" s="283"/>
      <c r="S42" s="284"/>
    </row>
    <row r="43" spans="1:19" ht="13.5">
      <c r="A43" s="264" t="s">
        <v>42</v>
      </c>
      <c r="B43" s="238"/>
      <c r="C43" s="238"/>
      <c r="D43" s="238" t="s">
        <v>44</v>
      </c>
      <c r="E43" s="238"/>
      <c r="F43" s="238"/>
      <c r="G43" s="238"/>
      <c r="H43" s="238" t="s">
        <v>7</v>
      </c>
      <c r="I43" s="238"/>
      <c r="J43" s="238"/>
      <c r="K43" s="238"/>
      <c r="L43" s="238" t="s">
        <v>32</v>
      </c>
      <c r="M43" s="238"/>
      <c r="N43" s="238"/>
      <c r="O43" s="238"/>
      <c r="P43" s="267" t="s">
        <v>13</v>
      </c>
      <c r="Q43" s="267"/>
      <c r="R43" s="267"/>
      <c r="S43" s="268"/>
    </row>
    <row r="44" spans="1:19" ht="14.25">
      <c r="A44" s="265" t="s">
        <v>15</v>
      </c>
      <c r="B44" s="243"/>
      <c r="C44" s="243"/>
      <c r="D44" s="243" t="s">
        <v>14</v>
      </c>
      <c r="E44" s="243"/>
      <c r="F44" s="243"/>
      <c r="G44" s="243"/>
      <c r="H44" s="243" t="s">
        <v>14</v>
      </c>
      <c r="I44" s="243"/>
      <c r="J44" s="243"/>
      <c r="K44" s="243"/>
      <c r="L44" s="243" t="s">
        <v>14</v>
      </c>
      <c r="M44" s="243"/>
      <c r="N44" s="243"/>
      <c r="O44" s="243"/>
      <c r="P44" s="243" t="s">
        <v>14</v>
      </c>
      <c r="Q44" s="243"/>
      <c r="R44" s="243"/>
      <c r="S44" s="266"/>
    </row>
    <row r="45" spans="1:19" ht="13.5">
      <c r="A45" s="5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6"/>
    </row>
    <row r="46" spans="1:19" ht="13.5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6"/>
    </row>
    <row r="47" spans="1:19" ht="13.5">
      <c r="A47" s="5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6"/>
    </row>
    <row r="48" spans="1:19" ht="13.5">
      <c r="A48" s="52"/>
      <c r="B48" s="86" t="s">
        <v>18</v>
      </c>
      <c r="C48" s="50"/>
      <c r="D48" s="86" t="s">
        <v>21</v>
      </c>
      <c r="E48" s="86"/>
      <c r="F48" s="86"/>
      <c r="G48" s="86"/>
      <c r="H48" s="86"/>
      <c r="I48" s="86" t="s">
        <v>20</v>
      </c>
      <c r="J48" s="86"/>
      <c r="K48" s="86"/>
      <c r="L48" s="50"/>
      <c r="M48" s="50"/>
      <c r="N48" s="50"/>
      <c r="O48" s="50"/>
      <c r="P48" s="50"/>
      <c r="Q48" s="50"/>
      <c r="R48" s="50"/>
      <c r="S48" s="56"/>
    </row>
    <row r="49" spans="1:19" ht="14.25">
      <c r="A49" s="241" t="s">
        <v>16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2"/>
    </row>
    <row r="50" spans="1:19" ht="13.5">
      <c r="A50" s="241" t="s">
        <v>17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2"/>
    </row>
    <row r="51" spans="1:19" ht="13.5">
      <c r="A51" s="58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9"/>
    </row>
    <row r="52" spans="1:19" ht="13.5">
      <c r="A52" s="72"/>
      <c r="B52" s="73" t="s">
        <v>11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3.5">
      <c r="A53" s="74"/>
      <c r="B53" s="73" t="s">
        <v>12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</sheetData>
  <sheetProtection/>
  <mergeCells count="74">
    <mergeCell ref="L42:S42"/>
    <mergeCell ref="P44:S44"/>
    <mergeCell ref="A49:S49"/>
    <mergeCell ref="A50:S50"/>
    <mergeCell ref="A44:C44"/>
    <mergeCell ref="D44:G44"/>
    <mergeCell ref="H44:K44"/>
    <mergeCell ref="L44:O44"/>
    <mergeCell ref="A43:C43"/>
    <mergeCell ref="D43:G43"/>
    <mergeCell ref="H43:K43"/>
    <mergeCell ref="L43:O43"/>
    <mergeCell ref="P43:S43"/>
    <mergeCell ref="C38:F38"/>
    <mergeCell ref="G38:S38"/>
    <mergeCell ref="C41:D41"/>
    <mergeCell ref="H41:S41"/>
    <mergeCell ref="B40:C40"/>
    <mergeCell ref="D40:S40"/>
    <mergeCell ref="B39:C39"/>
    <mergeCell ref="D39:S39"/>
    <mergeCell ref="E30:L30"/>
    <mergeCell ref="E31:L31"/>
    <mergeCell ref="O31:P31"/>
    <mergeCell ref="Q31:S31"/>
    <mergeCell ref="E32:L32"/>
    <mergeCell ref="O32:P32"/>
    <mergeCell ref="Q32:S32"/>
    <mergeCell ref="O33:P33"/>
    <mergeCell ref="Q33:S33"/>
    <mergeCell ref="G27:J28"/>
    <mergeCell ref="K27:K29"/>
    <mergeCell ref="L27:L29"/>
    <mergeCell ref="M27:S27"/>
    <mergeCell ref="M28:S28"/>
    <mergeCell ref="G29:J29"/>
    <mergeCell ref="M29:S29"/>
    <mergeCell ref="Q7:S7"/>
    <mergeCell ref="C9:S9"/>
    <mergeCell ref="E8:M8"/>
    <mergeCell ref="O6:P6"/>
    <mergeCell ref="Q6:S6"/>
    <mergeCell ref="G1:J2"/>
    <mergeCell ref="G3:J3"/>
    <mergeCell ref="Q5:S5"/>
    <mergeCell ref="M1:S1"/>
    <mergeCell ref="M2:S2"/>
    <mergeCell ref="M3:S3"/>
    <mergeCell ref="K1:K3"/>
    <mergeCell ref="L1:L3"/>
    <mergeCell ref="X5:Y5"/>
    <mergeCell ref="E5:L5"/>
    <mergeCell ref="E4:L4"/>
    <mergeCell ref="O5:P5"/>
    <mergeCell ref="E6:L6"/>
    <mergeCell ref="P18:S18"/>
    <mergeCell ref="D13:S13"/>
    <mergeCell ref="H15:S15"/>
    <mergeCell ref="C15:D15"/>
    <mergeCell ref="B13:C13"/>
    <mergeCell ref="N16:S16"/>
    <mergeCell ref="C12:F12"/>
    <mergeCell ref="G12:S12"/>
    <mergeCell ref="O7:P7"/>
    <mergeCell ref="A23:S23"/>
    <mergeCell ref="P17:S17"/>
    <mergeCell ref="A18:C18"/>
    <mergeCell ref="D18:G18"/>
    <mergeCell ref="A17:C17"/>
    <mergeCell ref="D17:G17"/>
    <mergeCell ref="H17:K17"/>
    <mergeCell ref="L17:O17"/>
    <mergeCell ref="H18:K18"/>
    <mergeCell ref="L18:O18"/>
  </mergeCells>
  <conditionalFormatting sqref="F7 C6:C8 F33 C32:C34">
    <cfRule type="expression" priority="1" dxfId="3" stopIfTrue="1">
      <formula>TYPE(A5)=16</formula>
    </cfRule>
  </conditionalFormatting>
  <conditionalFormatting sqref="G14 E14">
    <cfRule type="cellIs" priority="2" dxfId="3" operator="equal" stopIfTrue="1">
      <formula>0</formula>
    </cfRule>
  </conditionalFormatting>
  <dataValidations count="3">
    <dataValidation type="list" allowBlank="1" showInputMessage="1" showErrorMessage="1" sqref="L27:L28 I27:J28 L1:L2 I1:J2 T1">
      <formula1>P_TC</formula1>
    </dataValidation>
    <dataValidation type="list" allowBlank="1" showInputMessage="1" showErrorMessage="1" errorTitle="Lỗi" error="Tài khoản chưa đăng ký, chọn TK trong hộp Namebox để đăng ký" sqref="O31:O33 O5 O7">
      <formula1>TK</formula1>
    </dataValidation>
    <dataValidation allowBlank="1" showInputMessage="1" showErrorMessage="1" errorTitle="Lỗi" error="Tài khoản chưa đăng ký, chọn TK trong hộp Namebox để đăng ký" sqref="O6:P6"/>
  </dataValidations>
  <printOptions/>
  <pageMargins left="0.26" right="0.26" top="0.35" bottom="0.29" header="0.28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7" style="1" customWidth="1"/>
  </cols>
  <sheetData>
    <row r="1" spans="1:3" ht="13.5">
      <c r="A1"/>
      <c r="C1"/>
    </row>
    <row r="2" ht="14.25" thickBot="1">
      <c r="A2"/>
    </row>
    <row r="3" spans="1:3" ht="14.25" thickBot="1">
      <c r="A3"/>
      <c r="C3"/>
    </row>
    <row r="4" spans="1:3" ht="13.5">
      <c r="A4"/>
      <c r="C4"/>
    </row>
    <row r="5" ht="13.5">
      <c r="C5"/>
    </row>
    <row r="6" ht="14.25" thickBot="1">
      <c r="C6"/>
    </row>
    <row r="7" spans="1:3" ht="13.5">
      <c r="A7"/>
      <c r="C7"/>
    </row>
    <row r="8" spans="1:3" ht="13.5">
      <c r="A8"/>
      <c r="C8"/>
    </row>
    <row r="9" spans="1:3" ht="13.5">
      <c r="A9"/>
      <c r="C9"/>
    </row>
    <row r="10" spans="1:3" ht="13.5">
      <c r="A10"/>
      <c r="C10"/>
    </row>
    <row r="11" spans="1:3" ht="14.25" thickBot="1">
      <c r="A11"/>
      <c r="C11"/>
    </row>
    <row r="12" ht="13.5">
      <c r="C12"/>
    </row>
    <row r="13" ht="14.25" thickBot="1">
      <c r="C13"/>
    </row>
    <row r="14" spans="1:3" ht="14.25" thickBot="1">
      <c r="A14"/>
      <c r="C14"/>
    </row>
    <row r="15" ht="13.5">
      <c r="A15"/>
    </row>
    <row r="16" ht="14.25" thickBot="1">
      <c r="A16"/>
    </row>
    <row r="17" spans="1:3" ht="14.25" thickBot="1">
      <c r="A17"/>
      <c r="C17"/>
    </row>
    <row r="18" ht="13.5">
      <c r="C18"/>
    </row>
    <row r="19" ht="13.5">
      <c r="C19"/>
    </row>
    <row r="20" spans="1:3" ht="13.5">
      <c r="A20"/>
      <c r="C20"/>
    </row>
    <row r="21" spans="1:3" ht="13.5">
      <c r="A21"/>
      <c r="C21"/>
    </row>
    <row r="22" spans="1:3" ht="13.5">
      <c r="A22"/>
      <c r="C22"/>
    </row>
    <row r="23" spans="1:3" ht="13.5">
      <c r="A23"/>
      <c r="C23"/>
    </row>
    <row r="24" ht="13.5">
      <c r="A24"/>
    </row>
    <row r="25" ht="13.5">
      <c r="A25"/>
    </row>
    <row r="26" spans="1:3" ht="14.25" thickBot="1">
      <c r="A26"/>
      <c r="C26"/>
    </row>
    <row r="27" spans="1:3" ht="13.5">
      <c r="A27"/>
      <c r="C27"/>
    </row>
    <row r="28" spans="1:3" ht="13.5">
      <c r="A28"/>
      <c r="C28"/>
    </row>
    <row r="29" spans="1:3" ht="13.5">
      <c r="A29"/>
      <c r="C29"/>
    </row>
    <row r="30" spans="1:3" ht="13.5">
      <c r="A30"/>
      <c r="C30"/>
    </row>
    <row r="31" spans="1:3" ht="13.5">
      <c r="A31"/>
      <c r="C31"/>
    </row>
    <row r="32" spans="1:3" ht="13.5">
      <c r="A32"/>
      <c r="C32"/>
    </row>
    <row r="33" spans="1:3" ht="13.5">
      <c r="A33"/>
      <c r="C33"/>
    </row>
    <row r="34" spans="1:3" ht="13.5">
      <c r="A34"/>
      <c r="C34"/>
    </row>
    <row r="35" spans="1:3" ht="13.5">
      <c r="A35"/>
      <c r="C35"/>
    </row>
    <row r="36" spans="1:3" ht="13.5">
      <c r="A36"/>
      <c r="C36"/>
    </row>
    <row r="37" ht="13.5">
      <c r="A37"/>
    </row>
    <row r="38" ht="13.5">
      <c r="A38"/>
    </row>
    <row r="39" spans="1:3" ht="13.5">
      <c r="A39"/>
      <c r="C39"/>
    </row>
    <row r="40" spans="1:3" ht="13.5">
      <c r="A40"/>
      <c r="C40"/>
    </row>
    <row r="41" spans="1:3" ht="13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Chuong trinh chay thu</dc:title>
  <dc:subject/>
  <dc:creator>Levanton</dc:creator>
  <cp:keywords/>
  <dc:description/>
  <cp:lastModifiedBy>Tam Tran</cp:lastModifiedBy>
  <cp:lastPrinted>2020-08-19T08:17:09Z</cp:lastPrinted>
  <dcterms:created xsi:type="dcterms:W3CDTF">2000-06-21T19:35:46Z</dcterms:created>
  <dcterms:modified xsi:type="dcterms:W3CDTF">2023-12-12T14:27:20Z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